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6bf7542482a4df/Connecticut/Budget FY 23/City Budget/Budget History/"/>
    </mc:Choice>
  </mc:AlternateContent>
  <xr:revisionPtr revIDLastSave="179" documentId="8_{F18BF960-B905-462D-9911-BC438C4440B3}" xr6:coauthVersionLast="47" xr6:coauthVersionMax="47" xr10:uidLastSave="{29D33E8B-9360-4153-8F62-741532102B23}"/>
  <bookViews>
    <workbookView xWindow="-110" yWindow="-110" windowWidth="38620" windowHeight="21220" firstSheet="3" activeTab="3" xr2:uid="{00000000-000D-0000-FFFF-FFFF00000000}"/>
  </bookViews>
  <sheets>
    <sheet name="City Version 4-9-17" sheetId="1" state="hidden" r:id="rId1"/>
    <sheet name="BOE_Corrected" sheetId="4" state="hidden" r:id="rId2"/>
    <sheet name="City Budget_5-8-17" sheetId="5" state="hidden" r:id="rId3"/>
    <sheet name="BOE Budget_Graphic_FY23" sheetId="9" r:id="rId4"/>
    <sheet name="BOE Budget History" sheetId="10" r:id="rId5"/>
    <sheet name="BOE Budget History_A&amp;Non-A" sheetId="11" r:id="rId6"/>
  </sheets>
  <externalReferences>
    <externalReference r:id="rId7"/>
    <externalReference r:id="rId8"/>
    <externalReference r:id="rId9"/>
  </externalReferences>
  <definedNames>
    <definedName name="Auditrubric">[1]Sheet1!$B$3:$B$7</definedName>
    <definedName name="MidGrades">[2]MENU!$A$40:$A$45</definedName>
    <definedName name="PrepEnhance">[3]MENU!$A$17:$A$35</definedName>
    <definedName name="_xlnm.Print_Titles" localSheetId="3">'BOE Budget_Graphic_FY23'!$1:$1</definedName>
    <definedName name="Reasons">[3]MENU!$A$2:$A$10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6" i="9" l="1"/>
  <c r="D12" i="11" s="1"/>
  <c r="F15" i="10"/>
  <c r="H16" i="11"/>
  <c r="I16" i="11"/>
  <c r="C17" i="10"/>
  <c r="D17" i="10"/>
  <c r="C31" i="11"/>
  <c r="C30" i="11"/>
  <c r="E144" i="9"/>
  <c r="G144" i="9" s="1"/>
  <c r="B144" i="9"/>
  <c r="B12" i="11" s="1"/>
  <c r="C12" i="11"/>
  <c r="B145" i="9"/>
  <c r="D11" i="11"/>
  <c r="C11" i="11"/>
  <c r="B11" i="11"/>
  <c r="B11" i="10"/>
  <c r="B126" i="9"/>
  <c r="E145" i="9" l="1"/>
  <c r="J12" i="11"/>
  <c r="J16" i="11" s="1"/>
  <c r="E12" i="11"/>
  <c r="H12" i="11"/>
  <c r="B12" i="10"/>
  <c r="F12" i="10" s="1"/>
  <c r="I12" i="11"/>
  <c r="F12" i="11"/>
  <c r="E147" i="9"/>
  <c r="B147" i="9"/>
  <c r="F145" i="9" s="1"/>
  <c r="B127" i="9"/>
  <c r="E127" i="9" s="1"/>
  <c r="K12" i="11" l="1"/>
  <c r="G145" i="9"/>
  <c r="C12" i="10"/>
  <c r="F144" i="9"/>
  <c r="F147" i="9" s="1"/>
  <c r="E149" i="9"/>
  <c r="G147" i="9"/>
  <c r="G148" i="9" s="1"/>
  <c r="J17" i="10" s="1"/>
  <c r="I15" i="10" s="1"/>
  <c r="G127" i="9"/>
  <c r="C11" i="10"/>
  <c r="D11" i="10" s="1"/>
  <c r="B129" i="9"/>
  <c r="F127" i="9" s="1"/>
  <c r="E126" i="9"/>
  <c r="D30" i="11" l="1"/>
  <c r="D31" i="11" s="1"/>
  <c r="K16" i="11"/>
  <c r="D12" i="10"/>
  <c r="G12" i="10"/>
  <c r="G15" i="10" s="1"/>
  <c r="F126" i="9"/>
  <c r="F129" i="9" s="1"/>
  <c r="E129" i="9"/>
  <c r="G126" i="9"/>
  <c r="J11" i="10"/>
  <c r="I11" i="10"/>
  <c r="C10" i="11"/>
  <c r="D10" i="11"/>
  <c r="J11" i="11" s="1"/>
  <c r="B10" i="11"/>
  <c r="H11" i="11" s="1"/>
  <c r="G17" i="10"/>
  <c r="B10" i="10"/>
  <c r="F11" i="10" s="1"/>
  <c r="B108" i="9"/>
  <c r="E12" i="10" l="1"/>
  <c r="E15" i="10" s="1"/>
  <c r="H15" i="10" s="1"/>
  <c r="I12" i="10"/>
  <c r="J12" i="10"/>
  <c r="I11" i="11"/>
  <c r="K11" i="11" s="1"/>
  <c r="G129" i="9"/>
  <c r="G130" i="9" s="1"/>
  <c r="I17" i="10" s="1"/>
  <c r="E131" i="9"/>
  <c r="E11" i="11"/>
  <c r="G12" i="11" s="1"/>
  <c r="F11" i="11"/>
  <c r="F10" i="11"/>
  <c r="E10" i="11"/>
  <c r="C29" i="11" s="1"/>
  <c r="B30" i="11" l="1"/>
  <c r="B31" i="11" s="1"/>
  <c r="F17" i="11" s="1"/>
  <c r="G16" i="11"/>
  <c r="F16" i="11" s="1"/>
  <c r="D29" i="11"/>
  <c r="G11" i="11"/>
  <c r="D9" i="11"/>
  <c r="J10" i="11" s="1"/>
  <c r="B29" i="11" l="1"/>
  <c r="B73" i="9"/>
  <c r="B90" i="9" s="1"/>
  <c r="E108" i="9" l="1"/>
  <c r="E90" i="9"/>
  <c r="B9" i="11"/>
  <c r="H10" i="11" s="1"/>
  <c r="B9" i="10"/>
  <c r="F10" i="10" s="1"/>
  <c r="B4" i="11"/>
  <c r="H5" i="11" s="1"/>
  <c r="C4" i="11"/>
  <c r="D4" i="11"/>
  <c r="D8" i="11"/>
  <c r="J9" i="11" s="1"/>
  <c r="D7" i="11"/>
  <c r="D6" i="11"/>
  <c r="C6" i="11"/>
  <c r="D5" i="11"/>
  <c r="C5" i="11"/>
  <c r="F5" i="11" s="1"/>
  <c r="B8" i="11"/>
  <c r="H7" i="11"/>
  <c r="H6" i="11"/>
  <c r="G108" i="9" l="1"/>
  <c r="H9" i="11"/>
  <c r="F4" i="11"/>
  <c r="J5" i="11"/>
  <c r="J6" i="11"/>
  <c r="J7" i="11"/>
  <c r="J8" i="11"/>
  <c r="E4" i="11"/>
  <c r="C23" i="11" s="1"/>
  <c r="I6" i="11"/>
  <c r="F6" i="11"/>
  <c r="E6" i="11"/>
  <c r="C25" i="11" s="1"/>
  <c r="I5" i="11"/>
  <c r="E5" i="11"/>
  <c r="C24" i="11" s="1"/>
  <c r="H8" i="11"/>
  <c r="G7" i="10"/>
  <c r="G6" i="10"/>
  <c r="G5" i="10"/>
  <c r="F7" i="10"/>
  <c r="F6" i="10"/>
  <c r="K5" i="11" l="1"/>
  <c r="K6" i="11"/>
  <c r="D24" i="11" s="1"/>
  <c r="G5" i="11"/>
  <c r="G6" i="11"/>
  <c r="B24" i="11" s="1"/>
  <c r="D6" i="10"/>
  <c r="J6" i="10" s="1"/>
  <c r="D5" i="10"/>
  <c r="I5" i="10" s="1"/>
  <c r="D7" i="10"/>
  <c r="B8" i="10"/>
  <c r="B4" i="10"/>
  <c r="F5" i="10" s="1"/>
  <c r="B6" i="9"/>
  <c r="E9" i="9" s="1"/>
  <c r="E11" i="9" s="1"/>
  <c r="E23" i="9"/>
  <c r="E40" i="9"/>
  <c r="E42" i="9" s="1"/>
  <c r="E44" i="9" s="1"/>
  <c r="B58" i="9"/>
  <c r="B74" i="9" s="1"/>
  <c r="B91" i="9" s="1"/>
  <c r="B109" i="9" s="1"/>
  <c r="E6" i="9"/>
  <c r="G22" i="9" s="1"/>
  <c r="G39" i="9"/>
  <c r="G57" i="9"/>
  <c r="E73" i="9"/>
  <c r="G90" i="9" s="1"/>
  <c r="E7" i="9"/>
  <c r="B42" i="9"/>
  <c r="F39" i="9" s="1"/>
  <c r="B25" i="9"/>
  <c r="F22" i="9" s="1"/>
  <c r="I8" i="5"/>
  <c r="I10" i="5" s="1"/>
  <c r="I18" i="5" s="1"/>
  <c r="I21" i="5" s="1"/>
  <c r="I24" i="5" s="1"/>
  <c r="I25" i="5" s="1"/>
  <c r="I28" i="5" s="1"/>
  <c r="J18" i="4"/>
  <c r="J31" i="4"/>
  <c r="J7" i="4"/>
  <c r="J9" i="4" s="1"/>
  <c r="K15" i="4" s="1"/>
  <c r="I9" i="1"/>
  <c r="I11" i="1" s="1"/>
  <c r="I19" i="1" s="1"/>
  <c r="I22" i="1" s="1"/>
  <c r="I25" i="1" s="1"/>
  <c r="I26" i="1" s="1"/>
  <c r="D23" i="11" l="1"/>
  <c r="B9" i="9"/>
  <c r="F7" i="9" s="1"/>
  <c r="B23" i="11"/>
  <c r="E109" i="9"/>
  <c r="B111" i="9"/>
  <c r="C9" i="11"/>
  <c r="E91" i="9"/>
  <c r="B93" i="9"/>
  <c r="B60" i="9"/>
  <c r="F57" i="9" s="1"/>
  <c r="F40" i="9"/>
  <c r="F42" i="9" s="1"/>
  <c r="G40" i="9"/>
  <c r="G42" i="9" s="1"/>
  <c r="G43" i="9" s="1"/>
  <c r="F8" i="10"/>
  <c r="F9" i="10"/>
  <c r="E7" i="10"/>
  <c r="I6" i="10"/>
  <c r="E6" i="10"/>
  <c r="C7" i="11"/>
  <c r="J5" i="10"/>
  <c r="I7" i="10"/>
  <c r="J7" i="10"/>
  <c r="G73" i="9"/>
  <c r="J11" i="4"/>
  <c r="J17" i="4" s="1"/>
  <c r="J20" i="4" s="1"/>
  <c r="J23" i="4" s="1"/>
  <c r="J24" i="4" s="1"/>
  <c r="G23" i="9"/>
  <c r="G25" i="9" s="1"/>
  <c r="D4" i="10"/>
  <c r="F23" i="9"/>
  <c r="F25" i="9" s="1"/>
  <c r="E25" i="9"/>
  <c r="E27" i="9" s="1"/>
  <c r="E58" i="9"/>
  <c r="I10" i="11" l="1"/>
  <c r="K10" i="11" s="1"/>
  <c r="D28" i="11" s="1"/>
  <c r="E111" i="9"/>
  <c r="E113" i="9" s="1"/>
  <c r="C10" i="10"/>
  <c r="G11" i="10" s="1"/>
  <c r="F6" i="9"/>
  <c r="F9" i="9" s="1"/>
  <c r="G26" i="9"/>
  <c r="G109" i="9"/>
  <c r="F109" i="9"/>
  <c r="F108" i="9"/>
  <c r="F58" i="9"/>
  <c r="F60" i="9" s="1"/>
  <c r="F91" i="9"/>
  <c r="F90" i="9"/>
  <c r="C9" i="10"/>
  <c r="E93" i="9"/>
  <c r="F9" i="11"/>
  <c r="E9" i="11"/>
  <c r="I7" i="11"/>
  <c r="F7" i="11"/>
  <c r="E7" i="11"/>
  <c r="C26" i="11" s="1"/>
  <c r="C8" i="11"/>
  <c r="B76" i="9"/>
  <c r="E74" i="9"/>
  <c r="E60" i="9"/>
  <c r="E62" i="9" s="1"/>
  <c r="G58" i="9"/>
  <c r="G60" i="9" s="1"/>
  <c r="G61" i="9" s="1"/>
  <c r="J4" i="10"/>
  <c r="E5" i="10"/>
  <c r="J27" i="4"/>
  <c r="J30" i="4" s="1"/>
  <c r="I33" i="5"/>
  <c r="I34" i="5" s="1"/>
  <c r="I4" i="10"/>
  <c r="G10" i="11" l="1"/>
  <c r="B28" i="11" s="1"/>
  <c r="C28" i="11"/>
  <c r="G10" i="10"/>
  <c r="D10" i="10"/>
  <c r="F93" i="9"/>
  <c r="F111" i="9"/>
  <c r="G7" i="11"/>
  <c r="E95" i="9"/>
  <c r="G111" i="9"/>
  <c r="G112" i="9" s="1"/>
  <c r="H17" i="10" s="1"/>
  <c r="D9" i="10"/>
  <c r="I9" i="10" s="1"/>
  <c r="G91" i="9"/>
  <c r="G93" i="9" s="1"/>
  <c r="I8" i="11"/>
  <c r="K8" i="11" s="1"/>
  <c r="D26" i="11" s="1"/>
  <c r="I9" i="11"/>
  <c r="K9" i="11" s="1"/>
  <c r="D27" i="11" s="1"/>
  <c r="F74" i="9"/>
  <c r="F73" i="9"/>
  <c r="C8" i="10"/>
  <c r="G9" i="10" s="1"/>
  <c r="E76" i="9"/>
  <c r="E78" i="9" s="1"/>
  <c r="K7" i="11"/>
  <c r="G74" i="9"/>
  <c r="G76" i="9" s="1"/>
  <c r="G77" i="9" s="1"/>
  <c r="F17" i="10" s="1"/>
  <c r="F8" i="11"/>
  <c r="E8" i="11"/>
  <c r="C27" i="11" s="1"/>
  <c r="E17" i="10"/>
  <c r="F34" i="4"/>
  <c r="J32" i="4"/>
  <c r="B25" i="11" l="1"/>
  <c r="J10" i="10"/>
  <c r="E11" i="10"/>
  <c r="E10" i="10"/>
  <c r="I10" i="10"/>
  <c r="D25" i="11"/>
  <c r="G94" i="9"/>
  <c r="J9" i="10"/>
  <c r="F76" i="9"/>
  <c r="G8" i="11"/>
  <c r="B26" i="11" s="1"/>
  <c r="G9" i="11"/>
  <c r="B27" i="11" s="1"/>
  <c r="G8" i="10"/>
  <c r="D8" i="10"/>
  <c r="J8" i="10" l="1"/>
  <c r="E9" i="10"/>
  <c r="I8" i="10"/>
  <c r="E8" i="10"/>
</calcChain>
</file>

<file path=xl/sharedStrings.xml><?xml version="1.0" encoding="utf-8"?>
<sst xmlns="http://schemas.openxmlformats.org/spreadsheetml/2006/main" count="365" uniqueCount="131">
  <si>
    <t>CITY OF BRIDGEPORT</t>
  </si>
  <si>
    <t xml:space="preserve">FY2015-16 GENERAL FUND STATE ECS FUNDING </t>
  </si>
  <si>
    <t>FY14-15 EXCESS COST GRANT PRIOR YEAR EXPENSES</t>
  </si>
  <si>
    <t>Revised FY15-16 GENERAL FUND STATE FUND ECS ALLOCATION</t>
  </si>
  <si>
    <t>Therefore, FY2016-17 ENDING BOE ECS STATE APPROPRIATIONS</t>
  </si>
  <si>
    <t>Less:</t>
  </si>
  <si>
    <t>FY2017-2018 Governor's Proposed Budget ECS Reduction</t>
  </si>
  <si>
    <t>FY2016-2017 Excess City Appropriations Allocation</t>
  </si>
  <si>
    <t>Total FY17-18 BOE General Fund Appropriations Reduction</t>
  </si>
  <si>
    <t>Therefore: FY2015-16 BOE GENERAL FUND APPROPRIATIONS</t>
  </si>
  <si>
    <t>Total FY17-18 Itemized Deductions</t>
  </si>
  <si>
    <t>FY2017-2018 FINAL BOE GENERAL FUND APPROPRIATIONS</t>
  </si>
  <si>
    <t>FY2015-2016 GENERAL FUND BOE  ECS ALLOCATION  CITY FUNDING</t>
  </si>
  <si>
    <t>DETERMINATION OF FY2017-2018 BOE BUDGET ALLOCATION:</t>
  </si>
  <si>
    <t>Therefore, FY16 and FY17 State ECS Allocation versus City Budget</t>
  </si>
  <si>
    <t>Note:</t>
  </si>
  <si>
    <t>in FY2017-18 as agreed upon by the BOE Chief Financial Officer and the OPM Director.</t>
  </si>
  <si>
    <t xml:space="preserve">Please note that the City is assuming that the $395,000 Public Facilities reimbursement amount will be paid to the City by BOE </t>
  </si>
  <si>
    <t>reimbursement,  the services will not be provided by Public Facilities.</t>
  </si>
  <si>
    <t>OFFICE OF POLICY AND MANAGEMENT</t>
  </si>
  <si>
    <t>BOE School Crossing Guard Allocation Recovery</t>
  </si>
  <si>
    <t>BOE School Resource Officers expense recovery(Dedicated Police Officers)</t>
  </si>
  <si>
    <t xml:space="preserve">The City will need a commitment from Board Of Education ( Superintendent or Chief Financial Officer ) on or before June 15, 2017 </t>
  </si>
  <si>
    <t xml:space="preserve">that they will reimburse the City for the  services that Public Facilities will provide. In the event that BOE can't guarantee the </t>
  </si>
  <si>
    <t>BOE BUDGET: CORRECTED BY BOE</t>
  </si>
  <si>
    <t>FY2017-2018 BOE GENERAL FUND APPROPRIATION: Special Education</t>
  </si>
  <si>
    <t>Pending State action</t>
  </si>
  <si>
    <t>FY2017-18 FINAL BOE GENERAL FUND APPROPRIATIONS</t>
  </si>
  <si>
    <t>FY2017-2018 BOE GENERAL FUND APPROPRIATIONS</t>
  </si>
  <si>
    <t>BOE School Resource Officers expense recovery (Dedicated Police Officers)</t>
  </si>
  <si>
    <t>The City is assuming that the $395,000 Public Facilities reimbursement amount will be paid to the City by BOE in FY2017-18.</t>
  </si>
  <si>
    <t>Compared to FY2016-17 APPROPRIATION</t>
  </si>
  <si>
    <t>*</t>
  </si>
  <si>
    <t>The net increase will be:</t>
  </si>
  <si>
    <t>allocation at a fixed level……………………………….</t>
  </si>
  <si>
    <t>FY18 CHANGE:</t>
  </si>
  <si>
    <t>Adjustment for SPED Excess Cost grant, now included</t>
  </si>
  <si>
    <t>NET FY18 CHANGE:</t>
  </si>
  <si>
    <t>Projected, pending State action</t>
  </si>
  <si>
    <t>One-time amount due to BOE</t>
  </si>
  <si>
    <t xml:space="preserve"> after deducting the SPED Excess Cost Grant now incorporated within the SPED </t>
  </si>
  <si>
    <t>excluding Alliance ECS</t>
  </si>
  <si>
    <t>CITY COUNCIL:  ADDITION OF FUNDS</t>
  </si>
  <si>
    <t>FY2016-2017 BOE GENERAL FUND APPROPRIATIONS</t>
  </si>
  <si>
    <t>COMPARISON: FY18 to FY17</t>
  </si>
  <si>
    <t>[Note: actual ECS = $164,195,344]</t>
  </si>
  <si>
    <t>Updated by BBOE 5-8-17</t>
  </si>
  <si>
    <t>FY18 Governor's Proposed ECS Reduction</t>
  </si>
  <si>
    <t>GAIN</t>
  </si>
  <si>
    <t>FY 17 MBR, excluding Alliance grant</t>
  </si>
  <si>
    <t>FY2017-2018 NET CHANGE</t>
  </si>
  <si>
    <t>[to be recouped in Governor's Proposed ECS/SPED]</t>
  </si>
  <si>
    <t>City's Original Proposed BOE Budget, April 2017</t>
  </si>
  <si>
    <t>City's Updated BOE Budget, May 8, 2017</t>
  </si>
  <si>
    <t>The City is willing to provide the services through Public Facilities in 2017-18, if the BOE makes a commitment to reimburse the City by June 15, 2017.</t>
  </si>
  <si>
    <t>($394,393) by the City.  The MOU has been terminated by the BOE effective 6/30/2017.</t>
  </si>
  <si>
    <t>The BOE budget includes $394,393, which was allocated in the prior year, as per the MOU then in effect, to snow removal ($45,000) and sanitation/recycyling services</t>
  </si>
  <si>
    <t>In the event that the BOE can't guarantee the reimbursement, the services will not be provided by Public Facilities.</t>
  </si>
  <si>
    <t>Year</t>
  </si>
  <si>
    <t>2014-15</t>
  </si>
  <si>
    <t>2015-16</t>
  </si>
  <si>
    <t>City</t>
  </si>
  <si>
    <t>2016-17</t>
  </si>
  <si>
    <t>Grand Total</t>
  </si>
  <si>
    <t>2017-18</t>
  </si>
  <si>
    <t>%</t>
  </si>
  <si>
    <t>State ECS</t>
  </si>
  <si>
    <t>CHANGE</t>
  </si>
  <si>
    <t>State Alliance ECS</t>
  </si>
  <si>
    <t>BOE Budget</t>
  </si>
  <si>
    <t>Total Change</t>
  </si>
  <si>
    <t>NOTE:</t>
  </si>
  <si>
    <t>State Alliance ECS Reduction = -$911,334 and -$250,000 midyear.</t>
  </si>
  <si>
    <t>City*</t>
  </si>
  <si>
    <t>$200,000 to an expanded per diem intervention program.</t>
  </si>
  <si>
    <t>*The $2.5M increase included $1M dedicated as follows:</t>
  </si>
  <si>
    <t>$800,000 to addition of 10 nurse positions and</t>
  </si>
  <si>
    <t>2018-19</t>
  </si>
  <si>
    <t>State ECS:  Holdback of $250,000 - announced 11-17-17.</t>
  </si>
  <si>
    <t>ECS Total</t>
  </si>
  <si>
    <t>City %</t>
  </si>
  <si>
    <t>State %</t>
  </si>
  <si>
    <t>w/o Alliance</t>
  </si>
  <si>
    <t>ECS Total*</t>
  </si>
  <si>
    <t>*Alliance ECS Addition = $1,125,966</t>
  </si>
  <si>
    <t>Total Change:</t>
  </si>
  <si>
    <t>City Change</t>
  </si>
  <si>
    <t>State Change</t>
  </si>
  <si>
    <r>
      <t>State ECS</t>
    </r>
    <r>
      <rPr>
        <b/>
        <sz val="9"/>
        <color theme="0"/>
        <rFont val="Calibri"/>
        <family val="2"/>
        <scheme val="minor"/>
      </rPr>
      <t xml:space="preserve"> (incl. Alliance)</t>
    </r>
  </si>
  <si>
    <t>% Growth</t>
  </si>
  <si>
    <t>Total Budget</t>
  </si>
  <si>
    <t>Alliance ECS</t>
  </si>
  <si>
    <t>City MUNIS Amount</t>
  </si>
  <si>
    <t>State ECS Change</t>
  </si>
  <si>
    <t>Alliance ECS Change</t>
  </si>
  <si>
    <t>NOTES</t>
  </si>
  <si>
    <t>Total STATE Change</t>
  </si>
  <si>
    <t>* +$222,810 = a supplement for displaced students.</t>
  </si>
  <si>
    <t>*State ECS Addition = $472,810.   This amount includes:</t>
  </si>
  <si>
    <t>The ECS supplement for displaced students may or may not be continued in FY20.</t>
  </si>
  <si>
    <t>In 2018-19, the State ECS additional appropriation of $472,810 was composed of two (2) parts:</t>
  </si>
  <si>
    <t>$250,000 (restored FY18 holdback) + $222,810 (for displaced students).</t>
  </si>
  <si>
    <t>* +$250,000 = restored FY18 holdback PLUS</t>
  </si>
  <si>
    <t>2019-20</t>
  </si>
  <si>
    <t>BRIDGEPORT BOARD OF EDUCATION: BUDGET HISTORY….FY15 to FY20</t>
  </si>
  <si>
    <t>Avg.Year:</t>
  </si>
  <si>
    <r>
      <t xml:space="preserve">*State ECS: reflects removal of FY19 supplement/displaced students = </t>
    </r>
    <r>
      <rPr>
        <b/>
        <sz val="10"/>
        <color rgb="FFFF0000"/>
        <rFont val="Calibri"/>
        <family val="2"/>
        <scheme val="minor"/>
      </rPr>
      <t>-$222,810.</t>
    </r>
  </si>
  <si>
    <t>The "displaced students" allocation ($222,810) was a one-time allocation in 2018-19.</t>
  </si>
  <si>
    <t>In 2019-20, the one-time "displaced students" allocation was removed from State ECS.</t>
  </si>
  <si>
    <t>Avg/Yr</t>
  </si>
  <si>
    <t>2020-21</t>
  </si>
  <si>
    <t>CITY</t>
  </si>
  <si>
    <t>TOTAL</t>
  </si>
  <si>
    <t>STATE</t>
  </si>
  <si>
    <t>w. Alliance</t>
  </si>
  <si>
    <t>*State Alliance ECS: addition = +2,859,485</t>
  </si>
  <si>
    <t>*State Alliance ECS: addition = +$2,323,537</t>
  </si>
  <si>
    <t/>
  </si>
  <si>
    <t>2021-22</t>
  </si>
  <si>
    <t>BRIDGEPORT BOARD OF EDUCATION: BUDGET DATA….FY15 to FY22</t>
  </si>
  <si>
    <t>FY22</t>
  </si>
  <si>
    <t>FY21</t>
  </si>
  <si>
    <t>FY20</t>
  </si>
  <si>
    <t>FY19</t>
  </si>
  <si>
    <t>FY18</t>
  </si>
  <si>
    <t>FY17</t>
  </si>
  <si>
    <t>*State Alliance ECS: addition = +$1,530,063</t>
  </si>
  <si>
    <t>2022-23</t>
  </si>
  <si>
    <t>FY23</t>
  </si>
  <si>
    <t>FY16</t>
  </si>
  <si>
    <t>*State Alliance ECS: addition = +$15,434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</si>
</sst>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"/>
    <numFmt numFmtId="165" formatCode="0.0%"/>
    <numFmt numFmtId="166" formatCode="&quot;$&quot;#,##0.00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.5"/>
      <color rgb="FF002060"/>
      <name val="Calibri"/>
      <family val="2"/>
      <scheme val="minor"/>
    </font>
    <font>
      <sz val="10.75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theme="9" tint="-0.499984740745262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b/>
      <sz val="10.5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sz val="10.5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medium">
        <color theme="4"/>
      </top>
      <bottom/>
      <diagonal/>
    </border>
    <border>
      <left style="thin">
        <color theme="4"/>
      </left>
      <right style="thin">
        <color theme="4"/>
      </right>
      <top style="medium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double">
        <color theme="4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ck">
        <color rgb="FF00B050"/>
      </left>
      <right/>
      <top/>
      <bottom style="thin">
        <color indexed="64"/>
      </bottom>
      <diagonal/>
    </border>
    <border>
      <left style="thick">
        <color rgb="FF00B050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ck">
        <color rgb="FF00B050"/>
      </left>
      <right style="thin">
        <color theme="4"/>
      </right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theme="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70C0"/>
      </left>
      <right/>
      <top style="medium">
        <color theme="0"/>
      </top>
      <bottom style="medium">
        <color rgb="FF0070C0"/>
      </bottom>
      <diagonal/>
    </border>
    <border>
      <left style="medium">
        <color indexed="64"/>
      </left>
      <right style="medium">
        <color indexed="64"/>
      </right>
      <top/>
      <bottom style="thin">
        <color theme="4"/>
      </bottom>
      <diagonal/>
    </border>
    <border>
      <left style="medium">
        <color indexed="64"/>
      </left>
      <right style="thin">
        <color theme="4"/>
      </right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theme="4"/>
      </top>
      <bottom/>
      <diagonal/>
    </border>
    <border>
      <left style="medium">
        <color indexed="64"/>
      </left>
      <right style="thin">
        <color theme="4"/>
      </right>
      <top style="thin">
        <color theme="4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theme="4"/>
      </top>
      <bottom/>
      <diagonal/>
    </border>
  </borders>
  <cellStyleXfs count="2">
    <xf numFmtId="0" fontId="0" fillId="0" borderId="0"/>
    <xf numFmtId="0" fontId="14" fillId="0" borderId="0"/>
  </cellStyleXfs>
  <cellXfs count="183">
    <xf numFmtId="0" fontId="0" fillId="0" borderId="0" xfId="0"/>
    <xf numFmtId="3" fontId="1" fillId="0" borderId="0" xfId="0" applyNumberFormat="1" applyFont="1"/>
    <xf numFmtId="0" fontId="1" fillId="0" borderId="0" xfId="0" applyFont="1"/>
    <xf numFmtId="0" fontId="1" fillId="0" borderId="1" xfId="0" applyFont="1" applyBorder="1"/>
    <xf numFmtId="3" fontId="1" fillId="0" borderId="1" xfId="0" applyNumberFormat="1" applyFont="1" applyBorder="1"/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3" fontId="5" fillId="0" borderId="0" xfId="0" applyNumberFormat="1" applyFont="1"/>
    <xf numFmtId="164" fontId="1" fillId="0" borderId="0" xfId="0" applyNumberFormat="1" applyFont="1"/>
    <xf numFmtId="164" fontId="5" fillId="0" borderId="0" xfId="0" applyNumberFormat="1" applyFont="1" applyAlignment="1">
      <alignment horizontal="center"/>
    </xf>
    <xf numFmtId="0" fontId="1" fillId="0" borderId="2" xfId="0" applyFont="1" applyBorder="1"/>
    <xf numFmtId="6" fontId="1" fillId="0" borderId="2" xfId="0" applyNumberFormat="1" applyFont="1" applyBorder="1"/>
    <xf numFmtId="6" fontId="1" fillId="0" borderId="0" xfId="0" applyNumberFormat="1" applyFont="1"/>
    <xf numFmtId="0" fontId="0" fillId="2" borderId="0" xfId="0" applyFill="1"/>
    <xf numFmtId="0" fontId="6" fillId="0" borderId="1" xfId="0" applyFont="1" applyBorder="1" applyAlignment="1">
      <alignment horizontal="left"/>
    </xf>
    <xf numFmtId="0" fontId="5" fillId="0" borderId="0" xfId="0" applyFont="1"/>
    <xf numFmtId="3" fontId="1" fillId="3" borderId="0" xfId="0" applyNumberFormat="1" applyFont="1" applyFill="1"/>
    <xf numFmtId="3" fontId="1" fillId="3" borderId="1" xfId="0" applyNumberFormat="1" applyFont="1" applyFill="1" applyBorder="1"/>
    <xf numFmtId="3" fontId="7" fillId="0" borderId="0" xfId="0" applyNumberFormat="1" applyFont="1" applyAlignment="1">
      <alignment horizontal="center"/>
    </xf>
    <xf numFmtId="0" fontId="0" fillId="0" borderId="1" xfId="0" applyBorder="1"/>
    <xf numFmtId="0" fontId="10" fillId="0" borderId="0" xfId="0" applyFont="1"/>
    <xf numFmtId="0" fontId="1" fillId="0" borderId="4" xfId="0" applyFont="1" applyBorder="1"/>
    <xf numFmtId="0" fontId="0" fillId="0" borderId="5" xfId="0" applyBorder="1"/>
    <xf numFmtId="0" fontId="8" fillId="4" borderId="0" xfId="0" applyFont="1" applyFill="1"/>
    <xf numFmtId="0" fontId="9" fillId="4" borderId="0" xfId="0" applyFont="1" applyFill="1"/>
    <xf numFmtId="0" fontId="0" fillId="5" borderId="0" xfId="0" applyFill="1"/>
    <xf numFmtId="6" fontId="10" fillId="0" borderId="0" xfId="0" applyNumberFormat="1" applyFont="1"/>
    <xf numFmtId="38" fontId="1" fillId="0" borderId="1" xfId="0" applyNumberFormat="1" applyFont="1" applyBorder="1"/>
    <xf numFmtId="38" fontId="1" fillId="3" borderId="0" xfId="0" applyNumberFormat="1" applyFont="1" applyFill="1"/>
    <xf numFmtId="38" fontId="1" fillId="3" borderId="1" xfId="0" applyNumberFormat="1" applyFont="1" applyFill="1" applyBorder="1"/>
    <xf numFmtId="38" fontId="1" fillId="2" borderId="0" xfId="0" applyNumberFormat="1" applyFont="1" applyFill="1"/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/>
    <xf numFmtId="38" fontId="1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0" fillId="0" borderId="0" xfId="0" applyNumberFormat="1"/>
    <xf numFmtId="3" fontId="0" fillId="0" borderId="7" xfId="0" applyNumberFormat="1" applyBorder="1"/>
    <xf numFmtId="165" fontId="0" fillId="0" borderId="0" xfId="0" applyNumberFormat="1"/>
    <xf numFmtId="0" fontId="16" fillId="0" borderId="0" xfId="0" applyFont="1"/>
    <xf numFmtId="0" fontId="5" fillId="9" borderId="0" xfId="0" applyFont="1" applyFill="1"/>
    <xf numFmtId="0" fontId="17" fillId="0" borderId="0" xfId="0" applyFont="1"/>
    <xf numFmtId="0" fontId="20" fillId="0" borderId="0" xfId="0" applyFont="1"/>
    <xf numFmtId="0" fontId="20" fillId="0" borderId="6" xfId="0" applyFont="1" applyBorder="1"/>
    <xf numFmtId="0" fontId="0" fillId="0" borderId="6" xfId="0" applyBorder="1"/>
    <xf numFmtId="0" fontId="15" fillId="0" borderId="0" xfId="0" applyFont="1"/>
    <xf numFmtId="3" fontId="21" fillId="0" borderId="12" xfId="0" applyNumberFormat="1" applyFont="1" applyBorder="1"/>
    <xf numFmtId="3" fontId="21" fillId="0" borderId="8" xfId="0" applyNumberFormat="1" applyFont="1" applyBorder="1"/>
    <xf numFmtId="3" fontId="21" fillId="0" borderId="15" xfId="0" applyNumberFormat="1" applyFont="1" applyBorder="1"/>
    <xf numFmtId="3" fontId="22" fillId="0" borderId="13" xfId="0" applyNumberFormat="1" applyFont="1" applyBorder="1"/>
    <xf numFmtId="165" fontId="23" fillId="0" borderId="12" xfId="0" applyNumberFormat="1" applyFont="1" applyBorder="1"/>
    <xf numFmtId="165" fontId="21" fillId="0" borderId="8" xfId="0" applyNumberFormat="1" applyFont="1" applyBorder="1"/>
    <xf numFmtId="165" fontId="21" fillId="8" borderId="15" xfId="0" applyNumberFormat="1" applyFont="1" applyFill="1" applyBorder="1"/>
    <xf numFmtId="165" fontId="22" fillId="0" borderId="13" xfId="0" applyNumberFormat="1" applyFont="1" applyBorder="1"/>
    <xf numFmtId="0" fontId="24" fillId="8" borderId="9" xfId="0" applyFont="1" applyFill="1" applyBorder="1" applyAlignment="1">
      <alignment horizontal="center" vertical="top"/>
    </xf>
    <xf numFmtId="0" fontId="21" fillId="0" borderId="0" xfId="0" applyFont="1"/>
    <xf numFmtId="0" fontId="24" fillId="8" borderId="8" xfId="0" applyFont="1" applyFill="1" applyBorder="1" applyAlignment="1">
      <alignment horizontal="center" vertical="top"/>
    </xf>
    <xf numFmtId="0" fontId="22" fillId="0" borderId="11" xfId="0" applyFont="1" applyBorder="1"/>
    <xf numFmtId="165" fontId="23" fillId="0" borderId="11" xfId="0" applyNumberFormat="1" applyFont="1" applyBorder="1"/>
    <xf numFmtId="0" fontId="22" fillId="0" borderId="9" xfId="0" applyFont="1" applyBorder="1"/>
    <xf numFmtId="165" fontId="21" fillId="0" borderId="9" xfId="0" applyNumberFormat="1" applyFont="1" applyBorder="1"/>
    <xf numFmtId="0" fontId="22" fillId="0" borderId="14" xfId="0" applyFont="1" applyBorder="1"/>
    <xf numFmtId="165" fontId="21" fillId="8" borderId="14" xfId="0" applyNumberFormat="1" applyFont="1" applyFill="1" applyBorder="1"/>
    <xf numFmtId="0" fontId="22" fillId="0" borderId="10" xfId="0" applyFont="1" applyBorder="1"/>
    <xf numFmtId="3" fontId="22" fillId="0" borderId="10" xfId="0" applyNumberFormat="1" applyFont="1" applyBorder="1"/>
    <xf numFmtId="165" fontId="22" fillId="0" borderId="10" xfId="0" applyNumberFormat="1" applyFont="1" applyBorder="1"/>
    <xf numFmtId="0" fontId="22" fillId="0" borderId="7" xfId="0" applyFont="1" applyBorder="1"/>
    <xf numFmtId="3" fontId="21" fillId="0" borderId="7" xfId="0" applyNumberFormat="1" applyFont="1" applyBorder="1"/>
    <xf numFmtId="3" fontId="22" fillId="0" borderId="7" xfId="0" applyNumberFormat="1" applyFont="1" applyBorder="1"/>
    <xf numFmtId="3" fontId="22" fillId="0" borderId="9" xfId="0" applyNumberFormat="1" applyFont="1" applyBorder="1"/>
    <xf numFmtId="38" fontId="22" fillId="0" borderId="7" xfId="0" applyNumberFormat="1" applyFont="1" applyBorder="1"/>
    <xf numFmtId="38" fontId="22" fillId="0" borderId="13" xfId="0" applyNumberFormat="1" applyFont="1" applyBorder="1"/>
    <xf numFmtId="0" fontId="26" fillId="0" borderId="9" xfId="0" applyFont="1" applyBorder="1"/>
    <xf numFmtId="3" fontId="21" fillId="7" borderId="7" xfId="0" applyNumberFormat="1" applyFont="1" applyFill="1" applyBorder="1"/>
    <xf numFmtId="38" fontId="21" fillId="0" borderId="7" xfId="0" applyNumberFormat="1" applyFont="1" applyBorder="1"/>
    <xf numFmtId="0" fontId="26" fillId="0" borderId="14" xfId="0" applyFont="1" applyBorder="1"/>
    <xf numFmtId="3" fontId="21" fillId="7" borderId="15" xfId="0" applyNumberFormat="1" applyFont="1" applyFill="1" applyBorder="1"/>
    <xf numFmtId="10" fontId="26" fillId="0" borderId="13" xfId="0" applyNumberFormat="1" applyFont="1" applyBorder="1"/>
    <xf numFmtId="0" fontId="19" fillId="0" borderId="0" xfId="0" applyFont="1" applyAlignment="1">
      <alignment horizontal="center"/>
    </xf>
    <xf numFmtId="3" fontId="0" fillId="0" borderId="7" xfId="0" applyNumberFormat="1" applyBorder="1" applyAlignment="1">
      <alignment horizontal="right"/>
    </xf>
    <xf numFmtId="0" fontId="27" fillId="0" borderId="16" xfId="0" applyFont="1" applyBorder="1"/>
    <xf numFmtId="3" fontId="22" fillId="0" borderId="16" xfId="0" applyNumberFormat="1" applyFont="1" applyBorder="1"/>
    <xf numFmtId="38" fontId="1" fillId="0" borderId="7" xfId="0" applyNumberFormat="1" applyFont="1" applyBorder="1" applyAlignment="1">
      <alignment horizontal="right"/>
    </xf>
    <xf numFmtId="0" fontId="8" fillId="6" borderId="0" xfId="0" applyFont="1" applyFill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right"/>
    </xf>
    <xf numFmtId="38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0" xfId="0" applyFont="1" applyFill="1" applyAlignment="1">
      <alignment horizontal="center" wrapText="1"/>
    </xf>
    <xf numFmtId="10" fontId="1" fillId="10" borderId="17" xfId="0" applyNumberFormat="1" applyFont="1" applyFill="1" applyBorder="1" applyAlignment="1">
      <alignment horizontal="center"/>
    </xf>
    <xf numFmtId="164" fontId="1" fillId="0" borderId="18" xfId="0" applyNumberFormat="1" applyFont="1" applyBorder="1" applyAlignment="1">
      <alignment horizontal="right"/>
    </xf>
    <xf numFmtId="0" fontId="8" fillId="6" borderId="19" xfId="0" applyFont="1" applyFill="1" applyBorder="1" applyAlignment="1">
      <alignment horizontal="center" wrapText="1"/>
    </xf>
    <xf numFmtId="38" fontId="1" fillId="0" borderId="20" xfId="0" applyNumberFormat="1" applyFont="1" applyBorder="1" applyAlignment="1">
      <alignment horizontal="right"/>
    </xf>
    <xf numFmtId="38" fontId="1" fillId="0" borderId="18" xfId="0" applyNumberFormat="1" applyFont="1" applyBorder="1" applyAlignment="1">
      <alignment horizontal="right"/>
    </xf>
    <xf numFmtId="0" fontId="19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10" fontId="1" fillId="10" borderId="22" xfId="0" applyNumberFormat="1" applyFont="1" applyFill="1" applyBorder="1" applyAlignment="1">
      <alignment horizontal="center"/>
    </xf>
    <xf numFmtId="10" fontId="16" fillId="10" borderId="22" xfId="0" applyNumberFormat="1" applyFont="1" applyFill="1" applyBorder="1" applyAlignment="1">
      <alignment horizontal="center"/>
    </xf>
    <xf numFmtId="0" fontId="28" fillId="6" borderId="23" xfId="0" applyFont="1" applyFill="1" applyBorder="1" applyAlignment="1">
      <alignment horizontal="center"/>
    </xf>
    <xf numFmtId="164" fontId="1" fillId="0" borderId="25" xfId="0" applyNumberFormat="1" applyFont="1" applyBorder="1" applyAlignment="1">
      <alignment horizontal="right"/>
    </xf>
    <xf numFmtId="0" fontId="8" fillId="6" borderId="0" xfId="0" applyFont="1" applyFill="1" applyAlignment="1">
      <alignment horizontal="center" vertical="top"/>
    </xf>
    <xf numFmtId="0" fontId="8" fillId="6" borderId="0" xfId="0" applyFont="1" applyFill="1" applyAlignment="1">
      <alignment horizontal="center" vertical="top" wrapText="1"/>
    </xf>
    <xf numFmtId="0" fontId="5" fillId="0" borderId="0" xfId="0" applyFont="1" applyAlignment="1">
      <alignment horizontal="center"/>
    </xf>
    <xf numFmtId="38" fontId="1" fillId="0" borderId="28" xfId="0" applyNumberFormat="1" applyFont="1" applyBorder="1" applyAlignment="1">
      <alignment horizontal="right"/>
    </xf>
    <xf numFmtId="0" fontId="8" fillId="8" borderId="27" xfId="0" applyFont="1" applyFill="1" applyBorder="1" applyAlignment="1">
      <alignment horizontal="center" vertical="top" wrapText="1"/>
    </xf>
    <xf numFmtId="0" fontId="8" fillId="6" borderId="29" xfId="0" applyFont="1" applyFill="1" applyBorder="1" applyAlignment="1">
      <alignment horizontal="center" vertical="top" wrapText="1"/>
    </xf>
    <xf numFmtId="0" fontId="8" fillId="6" borderId="30" xfId="0" applyFont="1" applyFill="1" applyBorder="1" applyAlignment="1">
      <alignment horizontal="center" vertical="top" wrapText="1"/>
    </xf>
    <xf numFmtId="0" fontId="8" fillId="6" borderId="31" xfId="0" applyFont="1" applyFill="1" applyBorder="1" applyAlignment="1">
      <alignment horizontal="center" vertical="top" wrapText="1"/>
    </xf>
    <xf numFmtId="38" fontId="1" fillId="0" borderId="32" xfId="0" applyNumberFormat="1" applyFont="1" applyBorder="1" applyAlignment="1">
      <alignment horizontal="right"/>
    </xf>
    <xf numFmtId="38" fontId="1" fillId="0" borderId="33" xfId="0" applyNumberFormat="1" applyFont="1" applyBorder="1" applyAlignment="1">
      <alignment horizontal="right"/>
    </xf>
    <xf numFmtId="0" fontId="31" fillId="11" borderId="26" xfId="0" applyFont="1" applyFill="1" applyBorder="1"/>
    <xf numFmtId="0" fontId="30" fillId="8" borderId="0" xfId="0" applyFont="1" applyFill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28" fillId="6" borderId="34" xfId="0" applyFont="1" applyFill="1" applyBorder="1"/>
    <xf numFmtId="166" fontId="5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36" fillId="0" borderId="0" xfId="0" applyFont="1"/>
    <xf numFmtId="10" fontId="22" fillId="0" borderId="13" xfId="0" applyNumberFormat="1" applyFont="1" applyBorder="1"/>
    <xf numFmtId="10" fontId="25" fillId="0" borderId="13" xfId="0" applyNumberFormat="1" applyFont="1" applyBorder="1"/>
    <xf numFmtId="3" fontId="22" fillId="7" borderId="7" xfId="0" applyNumberFormat="1" applyFont="1" applyFill="1" applyBorder="1"/>
    <xf numFmtId="3" fontId="21" fillId="7" borderId="9" xfId="0" applyNumberFormat="1" applyFont="1" applyFill="1" applyBorder="1"/>
    <xf numFmtId="10" fontId="26" fillId="2" borderId="13" xfId="0" applyNumberFormat="1" applyFont="1" applyFill="1" applyBorder="1"/>
    <xf numFmtId="3" fontId="12" fillId="0" borderId="7" xfId="0" applyNumberFormat="1" applyFont="1" applyBorder="1"/>
    <xf numFmtId="3" fontId="37" fillId="0" borderId="7" xfId="0" applyNumberFormat="1" applyFont="1" applyBorder="1"/>
    <xf numFmtId="38" fontId="1" fillId="0" borderId="35" xfId="0" applyNumberFormat="1" applyFont="1" applyBorder="1" applyAlignment="1">
      <alignment horizontal="right"/>
    </xf>
    <xf numFmtId="38" fontId="1" fillId="0" borderId="36" xfId="0" applyNumberFormat="1" applyFont="1" applyBorder="1" applyAlignment="1">
      <alignment horizontal="right"/>
    </xf>
    <xf numFmtId="38" fontId="1" fillId="0" borderId="10" xfId="0" applyNumberFormat="1" applyFont="1" applyBorder="1" applyAlignment="1">
      <alignment horizontal="right"/>
    </xf>
    <xf numFmtId="38" fontId="1" fillId="0" borderId="37" xfId="0" applyNumberFormat="1" applyFont="1" applyBorder="1" applyAlignment="1">
      <alignment horizontal="right"/>
    </xf>
    <xf numFmtId="38" fontId="1" fillId="0" borderId="38" xfId="0" applyNumberFormat="1" applyFont="1" applyBorder="1" applyAlignment="1">
      <alignment horizontal="right"/>
    </xf>
    <xf numFmtId="38" fontId="1" fillId="0" borderId="9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38" fontId="1" fillId="0" borderId="0" xfId="0" applyNumberFormat="1" applyFont="1" applyBorder="1" applyAlignment="1">
      <alignment horizontal="right"/>
    </xf>
    <xf numFmtId="0" fontId="19" fillId="0" borderId="0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38" fontId="0" fillId="0" borderId="0" xfId="0" applyNumberFormat="1"/>
    <xf numFmtId="38" fontId="1" fillId="0" borderId="3" xfId="0" applyNumberFormat="1" applyFont="1" applyBorder="1" applyAlignment="1">
      <alignment horizontal="right"/>
    </xf>
    <xf numFmtId="0" fontId="29" fillId="6" borderId="3" xfId="0" applyFont="1" applyFill="1" applyBorder="1" applyAlignment="1">
      <alignment horizontal="center"/>
    </xf>
    <xf numFmtId="10" fontId="1" fillId="10" borderId="3" xfId="0" applyNumberFormat="1" applyFont="1" applyFill="1" applyBorder="1" applyAlignment="1">
      <alignment horizontal="center"/>
    </xf>
    <xf numFmtId="38" fontId="5" fillId="0" borderId="3" xfId="0" applyNumberFormat="1" applyFont="1" applyBorder="1" applyAlignment="1">
      <alignment horizontal="center"/>
    </xf>
    <xf numFmtId="3" fontId="39" fillId="0" borderId="8" xfId="0" applyNumberFormat="1" applyFont="1" applyBorder="1"/>
    <xf numFmtId="3" fontId="39" fillId="0" borderId="8" xfId="0" applyNumberFormat="1" applyFont="1" applyBorder="1" applyAlignment="1">
      <alignment horizontal="right"/>
    </xf>
    <xf numFmtId="164" fontId="40" fillId="0" borderId="9" xfId="0" applyNumberFormat="1" applyFont="1" applyBorder="1" applyAlignment="1">
      <alignment horizontal="right"/>
    </xf>
    <xf numFmtId="164" fontId="40" fillId="0" borderId="40" xfId="0" applyNumberFormat="1" applyFont="1" applyBorder="1" applyAlignment="1">
      <alignment horizontal="right"/>
    </xf>
    <xf numFmtId="38" fontId="40" fillId="0" borderId="37" xfId="0" applyNumberFormat="1" applyFont="1" applyBorder="1" applyAlignment="1">
      <alignment horizontal="right"/>
    </xf>
    <xf numFmtId="38" fontId="40" fillId="0" borderId="38" xfId="0" applyNumberFormat="1" applyFont="1" applyBorder="1" applyAlignment="1">
      <alignment horizontal="right"/>
    </xf>
    <xf numFmtId="38" fontId="40" fillId="0" borderId="0" xfId="0" applyNumberFormat="1" applyFont="1" applyBorder="1" applyAlignment="1">
      <alignment horizontal="right"/>
    </xf>
    <xf numFmtId="0" fontId="41" fillId="0" borderId="0" xfId="0" applyFont="1" applyBorder="1"/>
    <xf numFmtId="38" fontId="0" fillId="0" borderId="0" xfId="0" applyNumberFormat="1" applyFont="1"/>
    <xf numFmtId="38" fontId="1" fillId="0" borderId="39" xfId="0" applyNumberFormat="1" applyFont="1" applyBorder="1"/>
    <xf numFmtId="0" fontId="0" fillId="0" borderId="0" xfId="0" quotePrefix="1"/>
    <xf numFmtId="10" fontId="1" fillId="10" borderId="5" xfId="0" applyNumberFormat="1" applyFont="1" applyFill="1" applyBorder="1" applyAlignment="1">
      <alignment horizontal="center"/>
    </xf>
    <xf numFmtId="3" fontId="26" fillId="0" borderId="7" xfId="0" applyNumberFormat="1" applyFont="1" applyBorder="1"/>
    <xf numFmtId="3" fontId="22" fillId="7" borderId="15" xfId="0" applyNumberFormat="1" applyFont="1" applyFill="1" applyBorder="1"/>
    <xf numFmtId="0" fontId="17" fillId="0" borderId="0" xfId="0" applyFont="1" applyBorder="1"/>
    <xf numFmtId="3" fontId="0" fillId="0" borderId="8" xfId="0" applyNumberFormat="1" applyFont="1" applyBorder="1"/>
    <xf numFmtId="164" fontId="1" fillId="0" borderId="9" xfId="0" applyNumberFormat="1" applyFont="1" applyBorder="1" applyAlignment="1">
      <alignment horizontal="right"/>
    </xf>
    <xf numFmtId="164" fontId="1" fillId="0" borderId="40" xfId="0" applyNumberFormat="1" applyFont="1" applyBorder="1" applyAlignment="1">
      <alignment horizontal="right"/>
    </xf>
    <xf numFmtId="164" fontId="0" fillId="0" borderId="0" xfId="0" applyNumberFormat="1"/>
    <xf numFmtId="3" fontId="0" fillId="0" borderId="0" xfId="0" applyNumberFormat="1" applyFont="1" applyBorder="1"/>
    <xf numFmtId="38" fontId="1" fillId="0" borderId="0" xfId="0" applyNumberFormat="1" applyFont="1" applyBorder="1"/>
    <xf numFmtId="3" fontId="42" fillId="0" borderId="7" xfId="0" applyNumberFormat="1" applyFont="1" applyBorder="1"/>
    <xf numFmtId="3" fontId="42" fillId="0" borderId="7" xfId="0" applyNumberFormat="1" applyFont="1" applyBorder="1" applyAlignment="1">
      <alignment horizontal="right"/>
    </xf>
    <xf numFmtId="164" fontId="43" fillId="0" borderId="18" xfId="0" applyNumberFormat="1" applyFont="1" applyBorder="1" applyAlignment="1">
      <alignment horizontal="right"/>
    </xf>
    <xf numFmtId="164" fontId="43" fillId="0" borderId="25" xfId="0" applyNumberFormat="1" applyFont="1" applyBorder="1" applyAlignment="1">
      <alignment horizontal="right"/>
    </xf>
    <xf numFmtId="38" fontId="43" fillId="0" borderId="28" xfId="0" applyNumberFormat="1" applyFont="1" applyBorder="1" applyAlignment="1">
      <alignment horizontal="right"/>
    </xf>
    <xf numFmtId="38" fontId="43" fillId="0" borderId="32" xfId="0" applyNumberFormat="1" applyFont="1" applyBorder="1" applyAlignment="1">
      <alignment horizontal="right"/>
    </xf>
    <xf numFmtId="38" fontId="43" fillId="0" borderId="18" xfId="0" applyNumberFormat="1" applyFont="1" applyBorder="1" applyAlignment="1">
      <alignment horizontal="right"/>
    </xf>
    <xf numFmtId="38" fontId="43" fillId="0" borderId="0" xfId="0" applyNumberFormat="1" applyFont="1" applyBorder="1" applyAlignment="1">
      <alignment horizontal="right"/>
    </xf>
    <xf numFmtId="38" fontId="43" fillId="0" borderId="0" xfId="0" applyNumberFormat="1" applyFont="1" applyBorder="1"/>
    <xf numFmtId="0" fontId="44" fillId="0" borderId="0" xfId="0" applyFont="1" applyBorder="1"/>
    <xf numFmtId="0" fontId="28" fillId="6" borderId="24" xfId="0" applyFont="1" applyFill="1" applyBorder="1" applyAlignment="1"/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8" fillId="8" borderId="0" xfId="0" applyFont="1" applyFill="1" applyAlignment="1">
      <alignment horizontal="center"/>
    </xf>
  </cellXfs>
  <cellStyles count="2">
    <cellStyle name="Normal" xfId="0" builtinId="0"/>
    <cellStyle name="Normal 2 2" xfId="1" xr:uid="{00000000-0005-0000-0000-000001000000}"/>
  </cellStyles>
  <dxfs count="13"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6" formatCode="#,##0_);[Red]\(#,##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6" formatCode="#,##0_);[Red]\(#,##0\)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6" formatCode="#,##0_);[Red]\(#,##0\)"/>
      <alignment horizontal="right" vertical="bottom" textRotation="0" wrapText="0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6" formatCode="#,##0_);[Red]\(#,##0\)"/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6" formatCode="#,##0_);[Red]\(#,##0\)"/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alignment horizontal="right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alignment horizontal="right" vertical="bottom" textRotation="0" wrapText="0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  <alignment horizontal="center" vertical="top" textRotation="0" wrapText="1" indent="0" justifyLastLine="0" shrinkToFit="0" readingOrder="0"/>
    </dxf>
  </dxfs>
  <tableStyles count="0" defaultTableStyle="TableStyleMedium9" defaultPivotStyle="PivotStyleLight16"/>
  <colors>
    <mruColors>
      <color rgb="FFFFCC00"/>
      <color rgb="FF0097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2014-15 BOE 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'BOE Budget_Graphic_FY23'!$E$5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3-4D92-8F94-6F6D7E1389EF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4E3-4D92-8F94-6F6D7E1389EF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4E3-4D92-8F94-6F6D7E1389EF}"/>
              </c:ext>
            </c:extLst>
          </c:dPt>
          <c:cat>
            <c:strRef>
              <c:f>'BOE Budget_Graphic_FY23'!$D$6:$D$9</c:f>
              <c:strCache>
                <c:ptCount val="4"/>
                <c:pt idx="0">
                  <c:v>City</c:v>
                </c:pt>
                <c:pt idx="1">
                  <c:v>ECS Total</c:v>
                </c:pt>
                <c:pt idx="3">
                  <c:v>Grand Total</c:v>
                </c:pt>
              </c:strCache>
            </c:strRef>
          </c:cat>
          <c:val>
            <c:numRef>
              <c:f>'BOE Budget_Graphic_FY23'!$E$6:$E$9</c:f>
              <c:numCache>
                <c:formatCode>#,##0</c:formatCode>
                <c:ptCount val="4"/>
                <c:pt idx="0">
                  <c:v>60818551</c:v>
                </c:pt>
                <c:pt idx="1">
                  <c:v>178900148</c:v>
                </c:pt>
                <c:pt idx="3">
                  <c:v>239718699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3-4D92-8F94-6F6D7E138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9905120"/>
        <c:axId val="921746736"/>
      </c:barChart>
      <c:lineChart>
        <c:grouping val="standard"/>
        <c:varyColors val="0"/>
        <c:ser>
          <c:idx val="1"/>
          <c:order val="1"/>
          <c:tx>
            <c:strRef>
              <c:f>'BOE Budget_Graphic_FY23'!$F$5</c:f>
              <c:strCache>
                <c:ptCount val="1"/>
                <c:pt idx="0">
                  <c:v>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'BOE Budget_Graphic_FY23'!$D$6:$D$9</c:f>
              <c:strCache>
                <c:ptCount val="4"/>
                <c:pt idx="0">
                  <c:v>City</c:v>
                </c:pt>
                <c:pt idx="1">
                  <c:v>ECS Total</c:v>
                </c:pt>
                <c:pt idx="3">
                  <c:v>Grand Total</c:v>
                </c:pt>
              </c:strCache>
            </c:strRef>
          </c:cat>
          <c:val>
            <c:numRef>
              <c:f>'BOE Budget_Graphic_FY23'!$F$6:$F$9</c:f>
              <c:numCache>
                <c:formatCode>0.0%</c:formatCode>
                <c:ptCount val="4"/>
                <c:pt idx="0">
                  <c:v>0.25370799713876302</c:v>
                </c:pt>
                <c:pt idx="1">
                  <c:v>0.74629200286123698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E3-4D92-8F94-6F6D7E138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9908032"/>
        <c:axId val="1733677920"/>
      </c:lineChart>
      <c:catAx>
        <c:axId val="149990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1746736"/>
        <c:crosses val="autoZero"/>
        <c:auto val="1"/>
        <c:lblAlgn val="ctr"/>
        <c:lblOffset val="100"/>
        <c:noMultiLvlLbl val="0"/>
      </c:catAx>
      <c:valAx>
        <c:axId val="92174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9905120"/>
        <c:crosses val="autoZero"/>
        <c:crossBetween val="between"/>
      </c:valAx>
      <c:valAx>
        <c:axId val="173367792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9908032"/>
        <c:crosses val="max"/>
        <c:crossBetween val="between"/>
      </c:valAx>
      <c:catAx>
        <c:axId val="1499908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33677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BOE Budget: City/State/Total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'BOE Budget History'!$A$7:$A$12</c:f>
              <c:strCache>
                <c:ptCount val="6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</c:strCache>
            </c:strRef>
          </c:cat>
          <c:val>
            <c:numRef>
              <c:f>'BOE Budget History'!$B$7:$B$12</c:f>
              <c:numCache>
                <c:formatCode>#,##0</c:formatCode>
                <c:ptCount val="6"/>
                <c:pt idx="0">
                  <c:v>63771163</c:v>
                </c:pt>
                <c:pt idx="1">
                  <c:v>65490631</c:v>
                </c:pt>
                <c:pt idx="2">
                  <c:v>66790631</c:v>
                </c:pt>
                <c:pt idx="3">
                  <c:v>69040631</c:v>
                </c:pt>
                <c:pt idx="4">
                  <c:v>71040631</c:v>
                </c:pt>
                <c:pt idx="5">
                  <c:v>73040631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7-4DB8-BB3D-9B6F04D26EB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'BOE Budget History'!$A$7:$A$12</c:f>
              <c:strCache>
                <c:ptCount val="6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</c:strCache>
            </c:strRef>
          </c:cat>
          <c:val>
            <c:numRef>
              <c:f>'BOE Budget History'!$C$7:$C$12</c:f>
              <c:numCache>
                <c:formatCode>#,##0</c:formatCode>
                <c:ptCount val="6"/>
                <c:pt idx="0">
                  <c:v>180855390</c:v>
                </c:pt>
                <c:pt idx="1">
                  <c:v>182454166</c:v>
                </c:pt>
                <c:pt idx="2">
                  <c:v>185090841</c:v>
                </c:pt>
                <c:pt idx="3">
                  <c:v>187414378</c:v>
                </c:pt>
                <c:pt idx="4">
                  <c:v>188944441</c:v>
                </c:pt>
                <c:pt idx="5">
                  <c:v>188959875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47-4DB8-BB3D-9B6F04D26EB6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'BOE Budget History'!$A$7:$A$12</c:f>
              <c:strCache>
                <c:ptCount val="6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</c:strCache>
            </c:strRef>
          </c:cat>
          <c:val>
            <c:numRef>
              <c:f>'BOE Budget History'!$D$7:$D$12</c:f>
              <c:numCache>
                <c:formatCode>"$"#,##0</c:formatCode>
                <c:ptCount val="6"/>
                <c:pt idx="0">
                  <c:v>244626553</c:v>
                </c:pt>
                <c:pt idx="1">
                  <c:v>247944797</c:v>
                </c:pt>
                <c:pt idx="2">
                  <c:v>251881472</c:v>
                </c:pt>
                <c:pt idx="3">
                  <c:v>256455009</c:v>
                </c:pt>
                <c:pt idx="4">
                  <c:v>259985072</c:v>
                </c:pt>
                <c:pt idx="5">
                  <c:v>262000506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47-4DB8-BB3D-9B6F04D26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31410495"/>
        <c:axId val="1818571711"/>
      </c:barChart>
      <c:catAx>
        <c:axId val="1831410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571711"/>
        <c:crosses val="autoZero"/>
        <c:auto val="1"/>
        <c:lblAlgn val="ctr"/>
        <c:lblOffset val="100"/>
        <c:noMultiLvlLbl val="0"/>
      </c:catAx>
      <c:valAx>
        <c:axId val="1818571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1410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4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BOE Budget: City/State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'BOE Budget History'!$H$7:$H$12</c:f>
              <c:strCache>
                <c:ptCount val="6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</c:strCache>
            </c:strRef>
          </c:cat>
          <c:val>
            <c:numRef>
              <c:f>'BOE Budget History'!$I$7:$I$12</c:f>
              <c:numCache>
                <c:formatCode>0.0%</c:formatCode>
                <c:ptCount val="6"/>
                <c:pt idx="0">
                  <c:v>0.26068782075345681</c:v>
                </c:pt>
                <c:pt idx="1">
                  <c:v>0.26413391929333369</c:v>
                </c:pt>
                <c:pt idx="2">
                  <c:v>0.26516690755245387</c:v>
                </c:pt>
                <c:pt idx="3">
                  <c:v>0.2692114740484558</c:v>
                </c:pt>
                <c:pt idx="4">
                  <c:v>0.27324888484366516</c:v>
                </c:pt>
                <c:pt idx="5">
                  <c:v>0.27878049594301163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3-4ABB-8398-EF4756D2D06E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'BOE Budget History'!$H$7:$H$12</c:f>
              <c:strCache>
                <c:ptCount val="6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</c:strCache>
            </c:strRef>
          </c:cat>
          <c:val>
            <c:numRef>
              <c:f>'BOE Budget History'!$J$7:$J$12</c:f>
              <c:numCache>
                <c:formatCode>0.0%</c:formatCode>
                <c:ptCount val="6"/>
                <c:pt idx="0">
                  <c:v>0.73931217924654324</c:v>
                </c:pt>
                <c:pt idx="1">
                  <c:v>0.73586608070666637</c:v>
                </c:pt>
                <c:pt idx="2">
                  <c:v>0.73483309244754613</c:v>
                </c:pt>
                <c:pt idx="3">
                  <c:v>0.7307885259515442</c:v>
                </c:pt>
                <c:pt idx="4">
                  <c:v>0.72675111515633484</c:v>
                </c:pt>
                <c:pt idx="5">
                  <c:v>0.72121950405698831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03-4ABB-8398-EF4756D2D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1942511"/>
        <c:axId val="1821016175"/>
      </c:barChart>
      <c:catAx>
        <c:axId val="1821942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1016175"/>
        <c:crosses val="autoZero"/>
        <c:auto val="1"/>
        <c:lblAlgn val="ctr"/>
        <c:lblOffset val="100"/>
        <c:noMultiLvlLbl val="0"/>
      </c:catAx>
      <c:valAx>
        <c:axId val="1821016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1942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accent4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2015-16 BOE 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'BOE Budget_Graphic_FY23'!$E$21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6FF-4F12-8A30-037971AA9DBB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6FF-4F12-8A30-037971AA9DBB}"/>
              </c:ext>
            </c:extLst>
          </c:dPt>
          <c:cat>
            <c:strRef>
              <c:f>'BOE Budget_Graphic_FY23'!$D$22:$D$25</c:f>
              <c:strCache>
                <c:ptCount val="4"/>
                <c:pt idx="0">
                  <c:v>City</c:v>
                </c:pt>
                <c:pt idx="1">
                  <c:v>ECS Total</c:v>
                </c:pt>
                <c:pt idx="3">
                  <c:v>Grand Total</c:v>
                </c:pt>
              </c:strCache>
            </c:strRef>
          </c:cat>
          <c:val>
            <c:numRef>
              <c:f>'BOE Budget_Graphic_FY23'!$E$22:$E$25</c:f>
              <c:numCache>
                <c:formatCode>#,##0</c:formatCode>
                <c:ptCount val="4"/>
                <c:pt idx="0">
                  <c:v>63324020</c:v>
                </c:pt>
                <c:pt idx="1">
                  <c:v>182266724</c:v>
                </c:pt>
                <c:pt idx="3">
                  <c:v>245590744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F-4F12-8A30-037971AA9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718192"/>
        <c:axId val="914976000"/>
      </c:barChart>
      <c:lineChart>
        <c:grouping val="standard"/>
        <c:varyColors val="0"/>
        <c:ser>
          <c:idx val="1"/>
          <c:order val="1"/>
          <c:tx>
            <c:strRef>
              <c:f>'BOE Budget_Graphic_FY23'!$F$21</c:f>
              <c:strCache>
                <c:ptCount val="1"/>
                <c:pt idx="0">
                  <c:v>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'BOE Budget_Graphic_FY23'!$D$22:$D$25</c:f>
              <c:strCache>
                <c:ptCount val="4"/>
                <c:pt idx="0">
                  <c:v>City</c:v>
                </c:pt>
                <c:pt idx="1">
                  <c:v>ECS Total</c:v>
                </c:pt>
                <c:pt idx="3">
                  <c:v>Grand Total</c:v>
                </c:pt>
              </c:strCache>
            </c:strRef>
          </c:cat>
          <c:val>
            <c:numRef>
              <c:f>'BOE Budget_Graphic_FY23'!$F$22:$F$25</c:f>
              <c:numCache>
                <c:formatCode>0.0%</c:formatCode>
                <c:ptCount val="4"/>
                <c:pt idx="0">
                  <c:v>0.2578436750857353</c:v>
                </c:pt>
                <c:pt idx="1">
                  <c:v>0.74215632491426464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FF-4F12-8A30-037971AA9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719440"/>
        <c:axId val="914973408"/>
      </c:lineChart>
      <c:catAx>
        <c:axId val="19371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4976000"/>
        <c:crosses val="autoZero"/>
        <c:auto val="1"/>
        <c:lblAlgn val="ctr"/>
        <c:lblOffset val="100"/>
        <c:noMultiLvlLbl val="0"/>
      </c:catAx>
      <c:valAx>
        <c:axId val="91497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718192"/>
        <c:crosses val="autoZero"/>
        <c:crossBetween val="between"/>
      </c:valAx>
      <c:valAx>
        <c:axId val="91497340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719440"/>
        <c:crosses val="max"/>
        <c:crossBetween val="between"/>
      </c:valAx>
      <c:catAx>
        <c:axId val="193719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14973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rgbClr val="0097CC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2016-17 BOE 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'BOE Budget_Graphic_FY23'!$E$38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2BD-4329-B154-809038C1BF7D}"/>
              </c:ext>
            </c:extLst>
          </c:dPt>
          <c:dPt>
            <c:idx val="3"/>
            <c:invertIfNegative val="0"/>
            <c:bubble3D val="0"/>
            <c:spPr>
              <a:solidFill>
                <a:srgbClr val="FFC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2BD-4329-B154-809038C1BF7D}"/>
              </c:ext>
            </c:extLst>
          </c:dPt>
          <c:cat>
            <c:strRef>
              <c:f>'BOE Budget_Graphic_FY23'!$D$39:$D$42</c:f>
              <c:strCache>
                <c:ptCount val="4"/>
                <c:pt idx="0">
                  <c:v>City</c:v>
                </c:pt>
                <c:pt idx="1">
                  <c:v>ECS Total</c:v>
                </c:pt>
                <c:pt idx="3">
                  <c:v>Grand Total</c:v>
                </c:pt>
              </c:strCache>
            </c:strRef>
          </c:cat>
          <c:val>
            <c:numRef>
              <c:f>'BOE Budget_Graphic_FY23'!$E$39:$E$42</c:f>
              <c:numCache>
                <c:formatCode>#,##0</c:formatCode>
                <c:ptCount val="4"/>
                <c:pt idx="0">
                  <c:v>63383570</c:v>
                </c:pt>
                <c:pt idx="1">
                  <c:v>181105390</c:v>
                </c:pt>
                <c:pt idx="3">
                  <c:v>244488960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D-4329-B154-809038C1B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876672"/>
        <c:axId val="920868192"/>
      </c:barChart>
      <c:lineChart>
        <c:grouping val="standard"/>
        <c:varyColors val="0"/>
        <c:ser>
          <c:idx val="1"/>
          <c:order val="1"/>
          <c:tx>
            <c:strRef>
              <c:f>'BOE Budget_Graphic_FY23'!$F$38</c:f>
              <c:strCache>
                <c:ptCount val="1"/>
                <c:pt idx="0">
                  <c:v>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'BOE Budget_Graphic_FY23'!$D$39:$D$42</c:f>
              <c:strCache>
                <c:ptCount val="4"/>
                <c:pt idx="0">
                  <c:v>City</c:v>
                </c:pt>
                <c:pt idx="1">
                  <c:v>ECS Total</c:v>
                </c:pt>
                <c:pt idx="3">
                  <c:v>Grand Total</c:v>
                </c:pt>
              </c:strCache>
            </c:strRef>
          </c:cat>
          <c:val>
            <c:numRef>
              <c:f>'BOE Budget_Graphic_FY23'!$F$39:$F$42</c:f>
              <c:numCache>
                <c:formatCode>0.0%</c:formatCode>
                <c:ptCount val="4"/>
                <c:pt idx="0">
                  <c:v>0.25924921108912241</c:v>
                </c:pt>
                <c:pt idx="1">
                  <c:v>0.74075078891087764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BD-4329-B154-809038C1B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874176"/>
        <c:axId val="920861712"/>
      </c:lineChart>
      <c:catAx>
        <c:axId val="19087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868192"/>
        <c:crosses val="autoZero"/>
        <c:auto val="1"/>
        <c:lblAlgn val="ctr"/>
        <c:lblOffset val="100"/>
        <c:noMultiLvlLbl val="0"/>
      </c:catAx>
      <c:valAx>
        <c:axId val="92086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876672"/>
        <c:crosses val="autoZero"/>
        <c:crossBetween val="between"/>
      </c:valAx>
      <c:valAx>
        <c:axId val="92086171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874176"/>
        <c:crosses val="max"/>
        <c:crossBetween val="between"/>
      </c:valAx>
      <c:catAx>
        <c:axId val="1908741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20861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rgbClr val="0097CC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2017-18 BOE 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'BOE Budget_Graphic_FY23'!$E$56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79-45AC-A56C-A2212ADD25E2}"/>
              </c:ext>
            </c:extLst>
          </c:dPt>
          <c:dPt>
            <c:idx val="3"/>
            <c:invertIfNegative val="0"/>
            <c:bubble3D val="0"/>
            <c:spPr>
              <a:solidFill>
                <a:srgbClr val="FFC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AC79-45AC-A56C-A2212ADD25E2}"/>
              </c:ext>
            </c:extLst>
          </c:dPt>
          <c:cat>
            <c:strRef>
              <c:f>'BOE Budget_Graphic_FY23'!$D$57:$D$60</c:f>
              <c:strCache>
                <c:ptCount val="4"/>
                <c:pt idx="0">
                  <c:v>City</c:v>
                </c:pt>
                <c:pt idx="1">
                  <c:v>ECS Total</c:v>
                </c:pt>
                <c:pt idx="3">
                  <c:v>Grand Total</c:v>
                </c:pt>
              </c:strCache>
            </c:strRef>
          </c:cat>
          <c:val>
            <c:numRef>
              <c:f>'BOE Budget_Graphic_FY23'!$E$57:$E$60</c:f>
              <c:numCache>
                <c:formatCode>#,##0</c:formatCode>
                <c:ptCount val="4"/>
                <c:pt idx="0">
                  <c:v>63771163</c:v>
                </c:pt>
                <c:pt idx="1">
                  <c:v>180855390</c:v>
                </c:pt>
                <c:pt idx="3">
                  <c:v>244626553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79-45AC-A56C-A2212ADD2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715280"/>
        <c:axId val="918907440"/>
      </c:barChart>
      <c:lineChart>
        <c:grouping val="standard"/>
        <c:varyColors val="0"/>
        <c:ser>
          <c:idx val="1"/>
          <c:order val="1"/>
          <c:tx>
            <c:strRef>
              <c:f>'BOE Budget_Graphic_FY23'!$F$56</c:f>
              <c:strCache>
                <c:ptCount val="1"/>
                <c:pt idx="0">
                  <c:v>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'BOE Budget_Graphic_FY23'!$D$57:$D$60</c:f>
              <c:strCache>
                <c:ptCount val="4"/>
                <c:pt idx="0">
                  <c:v>City</c:v>
                </c:pt>
                <c:pt idx="1">
                  <c:v>ECS Total</c:v>
                </c:pt>
                <c:pt idx="3">
                  <c:v>Grand Total</c:v>
                </c:pt>
              </c:strCache>
            </c:strRef>
          </c:cat>
          <c:val>
            <c:numRef>
              <c:f>'BOE Budget_Graphic_FY23'!$F$57:$F$60</c:f>
              <c:numCache>
                <c:formatCode>0.0%</c:formatCode>
                <c:ptCount val="4"/>
                <c:pt idx="0">
                  <c:v>0.26068782075345681</c:v>
                </c:pt>
                <c:pt idx="1">
                  <c:v>0.73931217924654324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79-45AC-A56C-A2212ADD2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706128"/>
        <c:axId val="918898800"/>
      </c:lineChart>
      <c:catAx>
        <c:axId val="19371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907440"/>
        <c:crosses val="autoZero"/>
        <c:auto val="1"/>
        <c:lblAlgn val="ctr"/>
        <c:lblOffset val="100"/>
        <c:noMultiLvlLbl val="0"/>
      </c:catAx>
      <c:valAx>
        <c:axId val="91890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715280"/>
        <c:crosses val="autoZero"/>
        <c:crossBetween val="between"/>
      </c:valAx>
      <c:valAx>
        <c:axId val="91889880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706128"/>
        <c:crosses val="max"/>
        <c:crossBetween val="between"/>
      </c:valAx>
      <c:catAx>
        <c:axId val="1937061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188988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rgbClr val="0097CC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2018-19</a:t>
            </a:r>
            <a:r>
              <a:rPr lang="en-US" b="1" baseline="0"/>
              <a:t> BOE Budget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'BOE Budget_Graphic_FY23'!$E$72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5D6D-43A8-94BE-1A617A509AC1}"/>
              </c:ext>
            </c:extLst>
          </c:dPt>
          <c:dPt>
            <c:idx val="3"/>
            <c:invertIfNegative val="0"/>
            <c:bubble3D val="0"/>
            <c:spPr>
              <a:solidFill>
                <a:srgbClr val="FFC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D6D-43A8-94BE-1A617A509AC1}"/>
              </c:ext>
            </c:extLst>
          </c:dPt>
          <c:cat>
            <c:strRef>
              <c:f>'BOE Budget_Graphic_FY23'!$D$73:$D$76</c:f>
              <c:strCache>
                <c:ptCount val="4"/>
                <c:pt idx="0">
                  <c:v>City</c:v>
                </c:pt>
                <c:pt idx="1">
                  <c:v>ECS Total*</c:v>
                </c:pt>
                <c:pt idx="3">
                  <c:v>Grand Total</c:v>
                </c:pt>
              </c:strCache>
            </c:strRef>
          </c:cat>
          <c:val>
            <c:numRef>
              <c:f>'BOE Budget_Graphic_FY23'!$E$73:$E$76</c:f>
              <c:numCache>
                <c:formatCode>#,##0</c:formatCode>
                <c:ptCount val="4"/>
                <c:pt idx="0">
                  <c:v>65490631</c:v>
                </c:pt>
                <c:pt idx="1">
                  <c:v>182454166</c:v>
                </c:pt>
                <c:pt idx="3">
                  <c:v>247944797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D-43A8-94BE-1A617A509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1784064"/>
        <c:axId val="560274576"/>
      </c:barChart>
      <c:lineChart>
        <c:grouping val="standard"/>
        <c:varyColors val="0"/>
        <c:ser>
          <c:idx val="1"/>
          <c:order val="1"/>
          <c:tx>
            <c:strRef>
              <c:f>'BOE Budget_Graphic_FY23'!$F$72</c:f>
              <c:strCache>
                <c:ptCount val="1"/>
                <c:pt idx="0">
                  <c:v>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'BOE Budget_Graphic_FY23'!$D$73:$D$76</c:f>
              <c:strCache>
                <c:ptCount val="4"/>
                <c:pt idx="0">
                  <c:v>City</c:v>
                </c:pt>
                <c:pt idx="1">
                  <c:v>ECS Total*</c:v>
                </c:pt>
                <c:pt idx="3">
                  <c:v>Grand Total</c:v>
                </c:pt>
              </c:strCache>
            </c:strRef>
          </c:cat>
          <c:val>
            <c:numRef>
              <c:f>'BOE Budget_Graphic_FY23'!$F$73:$F$76</c:f>
              <c:numCache>
                <c:formatCode>0.0%</c:formatCode>
                <c:ptCount val="4"/>
                <c:pt idx="0">
                  <c:v>0.26413391929333369</c:v>
                </c:pt>
                <c:pt idx="1">
                  <c:v>0.73586608070666637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6D-43A8-94BE-1A617A509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537184"/>
        <c:axId val="921000016"/>
      </c:lineChart>
      <c:catAx>
        <c:axId val="46178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274576"/>
        <c:crosses val="autoZero"/>
        <c:auto val="1"/>
        <c:lblAlgn val="ctr"/>
        <c:lblOffset val="100"/>
        <c:noMultiLvlLbl val="0"/>
      </c:catAx>
      <c:valAx>
        <c:axId val="56027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784064"/>
        <c:crosses val="autoZero"/>
        <c:crossBetween val="between"/>
      </c:valAx>
      <c:valAx>
        <c:axId val="92100001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537184"/>
        <c:crosses val="max"/>
        <c:crossBetween val="between"/>
      </c:valAx>
      <c:catAx>
        <c:axId val="438537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21000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rgbClr val="0097CC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2019-20</a:t>
            </a:r>
            <a:r>
              <a:rPr lang="en-US" b="1" baseline="0"/>
              <a:t> BOE Budget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'BOE Budget_Graphic_FY23'!$E$89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509-458F-A370-F2115DF04CCC}"/>
              </c:ext>
            </c:extLst>
          </c:dPt>
          <c:dPt>
            <c:idx val="3"/>
            <c:invertIfNegative val="0"/>
            <c:bubble3D val="0"/>
            <c:spPr>
              <a:solidFill>
                <a:srgbClr val="FFC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509-458F-A370-F2115DF04CCC}"/>
              </c:ext>
            </c:extLst>
          </c:dPt>
          <c:cat>
            <c:strRef>
              <c:f>'BOE Budget_Graphic_FY23'!$D$90:$D$93</c:f>
              <c:strCache>
                <c:ptCount val="4"/>
                <c:pt idx="0">
                  <c:v>City</c:v>
                </c:pt>
                <c:pt idx="1">
                  <c:v>ECS Total*</c:v>
                </c:pt>
                <c:pt idx="3">
                  <c:v>Grand Total</c:v>
                </c:pt>
              </c:strCache>
            </c:strRef>
          </c:cat>
          <c:val>
            <c:numRef>
              <c:f>'BOE Budget_Graphic_FY23'!$E$90:$E$93</c:f>
              <c:numCache>
                <c:formatCode>#,##0</c:formatCode>
                <c:ptCount val="4"/>
                <c:pt idx="0">
                  <c:v>66790631</c:v>
                </c:pt>
                <c:pt idx="1">
                  <c:v>185090841</c:v>
                </c:pt>
                <c:pt idx="3">
                  <c:v>251881472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09-458F-A370-F2115DF04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1784064"/>
        <c:axId val="560274576"/>
      </c:barChart>
      <c:lineChart>
        <c:grouping val="standard"/>
        <c:varyColors val="0"/>
        <c:ser>
          <c:idx val="1"/>
          <c:order val="1"/>
          <c:tx>
            <c:strRef>
              <c:f>'BOE Budget_Graphic_FY23'!$F$89</c:f>
              <c:strCache>
                <c:ptCount val="1"/>
                <c:pt idx="0">
                  <c:v>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'BOE Budget_Graphic_FY23'!$D$90:$D$93</c:f>
              <c:strCache>
                <c:ptCount val="4"/>
                <c:pt idx="0">
                  <c:v>City</c:v>
                </c:pt>
                <c:pt idx="1">
                  <c:v>ECS Total*</c:v>
                </c:pt>
                <c:pt idx="3">
                  <c:v>Grand Total</c:v>
                </c:pt>
              </c:strCache>
            </c:strRef>
          </c:cat>
          <c:val>
            <c:numRef>
              <c:f>'BOE Budget_Graphic_FY23'!$F$90:$F$93</c:f>
              <c:numCache>
                <c:formatCode>0.0%</c:formatCode>
                <c:ptCount val="4"/>
                <c:pt idx="0">
                  <c:v>0.26516690755245387</c:v>
                </c:pt>
                <c:pt idx="1">
                  <c:v>0.73483309244754613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09-458F-A370-F2115DF04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537184"/>
        <c:axId val="921000016"/>
      </c:lineChart>
      <c:catAx>
        <c:axId val="46178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274576"/>
        <c:crosses val="autoZero"/>
        <c:auto val="1"/>
        <c:lblAlgn val="ctr"/>
        <c:lblOffset val="100"/>
        <c:noMultiLvlLbl val="0"/>
      </c:catAx>
      <c:valAx>
        <c:axId val="56027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784064"/>
        <c:crosses val="autoZero"/>
        <c:crossBetween val="between"/>
      </c:valAx>
      <c:valAx>
        <c:axId val="92100001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537184"/>
        <c:crosses val="max"/>
        <c:crossBetween val="between"/>
      </c:valAx>
      <c:catAx>
        <c:axId val="438537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21000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rgbClr val="0097CC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2020-21</a:t>
            </a:r>
            <a:r>
              <a:rPr lang="en-US" b="1" baseline="0"/>
              <a:t> BOE Budget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'BOE Budget_Graphic_FY23'!$E$107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299-4DA1-99DB-6AF5EED31936}"/>
              </c:ext>
            </c:extLst>
          </c:dPt>
          <c:dPt>
            <c:idx val="3"/>
            <c:invertIfNegative val="0"/>
            <c:bubble3D val="0"/>
            <c:spPr>
              <a:solidFill>
                <a:srgbClr val="FFC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299-4DA1-99DB-6AF5EED31936}"/>
              </c:ext>
            </c:extLst>
          </c:dPt>
          <c:cat>
            <c:strRef>
              <c:f>'BOE Budget_Graphic_FY23'!$D$108:$D$111</c:f>
              <c:strCache>
                <c:ptCount val="4"/>
                <c:pt idx="0">
                  <c:v>City</c:v>
                </c:pt>
                <c:pt idx="1">
                  <c:v>ECS Total*</c:v>
                </c:pt>
                <c:pt idx="3">
                  <c:v>Grand Total</c:v>
                </c:pt>
              </c:strCache>
            </c:strRef>
          </c:cat>
          <c:val>
            <c:numRef>
              <c:f>'BOE Budget_Graphic_FY23'!$E$108:$E$111</c:f>
              <c:numCache>
                <c:formatCode>#,##0</c:formatCode>
                <c:ptCount val="4"/>
                <c:pt idx="0">
                  <c:v>69040631</c:v>
                </c:pt>
                <c:pt idx="1">
                  <c:v>187414378</c:v>
                </c:pt>
                <c:pt idx="3">
                  <c:v>256455009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99-4DA1-99DB-6AF5EED31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1784064"/>
        <c:axId val="560274576"/>
      </c:barChart>
      <c:lineChart>
        <c:grouping val="standard"/>
        <c:varyColors val="0"/>
        <c:ser>
          <c:idx val="1"/>
          <c:order val="1"/>
          <c:tx>
            <c:strRef>
              <c:f>'BOE Budget_Graphic_FY23'!$F$107</c:f>
              <c:strCache>
                <c:ptCount val="1"/>
                <c:pt idx="0">
                  <c:v>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'BOE Budget_Graphic_FY23'!$D$108:$D$111</c:f>
              <c:strCache>
                <c:ptCount val="4"/>
                <c:pt idx="0">
                  <c:v>City</c:v>
                </c:pt>
                <c:pt idx="1">
                  <c:v>ECS Total*</c:v>
                </c:pt>
                <c:pt idx="3">
                  <c:v>Grand Total</c:v>
                </c:pt>
              </c:strCache>
            </c:strRef>
          </c:cat>
          <c:val>
            <c:numRef>
              <c:f>'BOE Budget_Graphic_FY23'!$F$108:$F$111</c:f>
              <c:numCache>
                <c:formatCode>0.0%</c:formatCode>
                <c:ptCount val="4"/>
                <c:pt idx="0">
                  <c:v>0.2692114740484558</c:v>
                </c:pt>
                <c:pt idx="1">
                  <c:v>0.7307885259515442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299-4DA1-99DB-6AF5EED31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537184"/>
        <c:axId val="921000016"/>
      </c:lineChart>
      <c:catAx>
        <c:axId val="46178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274576"/>
        <c:crosses val="autoZero"/>
        <c:auto val="1"/>
        <c:lblAlgn val="ctr"/>
        <c:lblOffset val="100"/>
        <c:noMultiLvlLbl val="0"/>
      </c:catAx>
      <c:valAx>
        <c:axId val="56027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784064"/>
        <c:crosses val="autoZero"/>
        <c:crossBetween val="between"/>
      </c:valAx>
      <c:valAx>
        <c:axId val="92100001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537184"/>
        <c:crosses val="max"/>
        <c:crossBetween val="between"/>
      </c:valAx>
      <c:catAx>
        <c:axId val="438537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21000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rgbClr val="0097CC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2021-22</a:t>
            </a:r>
            <a:r>
              <a:rPr lang="en-US" b="1" baseline="0"/>
              <a:t> BOE Budget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'BOE Budget_Graphic_FY23'!$E$125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AC-4053-9DAB-323245EEA324}"/>
              </c:ext>
            </c:extLst>
          </c:dPt>
          <c:dPt>
            <c:idx val="3"/>
            <c:invertIfNegative val="0"/>
            <c:bubble3D val="0"/>
            <c:spPr>
              <a:solidFill>
                <a:srgbClr val="FFC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AC-4053-9DAB-323245EEA324}"/>
              </c:ext>
            </c:extLst>
          </c:dPt>
          <c:cat>
            <c:strRef>
              <c:f>'BOE Budget_Graphic_FY23'!$D$126:$D$129</c:f>
              <c:strCache>
                <c:ptCount val="4"/>
                <c:pt idx="0">
                  <c:v>City</c:v>
                </c:pt>
                <c:pt idx="1">
                  <c:v>ECS Total*</c:v>
                </c:pt>
                <c:pt idx="3">
                  <c:v>Grand Total</c:v>
                </c:pt>
              </c:strCache>
            </c:strRef>
          </c:cat>
          <c:val>
            <c:numRef>
              <c:f>'BOE Budget_Graphic_FY23'!$E$126:$E$129</c:f>
              <c:numCache>
                <c:formatCode>#,##0</c:formatCode>
                <c:ptCount val="4"/>
                <c:pt idx="0">
                  <c:v>71040631</c:v>
                </c:pt>
                <c:pt idx="1">
                  <c:v>188944441</c:v>
                </c:pt>
                <c:pt idx="3">
                  <c:v>259985072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AC-4053-9DAB-323245EEA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1784064"/>
        <c:axId val="560274576"/>
      </c:barChart>
      <c:lineChart>
        <c:grouping val="standard"/>
        <c:varyColors val="0"/>
        <c:ser>
          <c:idx val="1"/>
          <c:order val="1"/>
          <c:tx>
            <c:strRef>
              <c:f>'BOE Budget_Graphic_FY23'!$F$125</c:f>
              <c:strCache>
                <c:ptCount val="1"/>
                <c:pt idx="0">
                  <c:v>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'BOE Budget_Graphic_FY23'!$D$126:$D$129</c:f>
              <c:strCache>
                <c:ptCount val="4"/>
                <c:pt idx="0">
                  <c:v>City</c:v>
                </c:pt>
                <c:pt idx="1">
                  <c:v>ECS Total*</c:v>
                </c:pt>
                <c:pt idx="3">
                  <c:v>Grand Total</c:v>
                </c:pt>
              </c:strCache>
            </c:strRef>
          </c:cat>
          <c:val>
            <c:numRef>
              <c:f>'BOE Budget_Graphic_FY23'!$F$126:$F$129</c:f>
              <c:numCache>
                <c:formatCode>0.0%</c:formatCode>
                <c:ptCount val="4"/>
                <c:pt idx="0">
                  <c:v>0.27324888484366516</c:v>
                </c:pt>
                <c:pt idx="1">
                  <c:v>0.72675111515633484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AC-4053-9DAB-323245EEA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537184"/>
        <c:axId val="921000016"/>
      </c:lineChart>
      <c:catAx>
        <c:axId val="46178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274576"/>
        <c:crosses val="autoZero"/>
        <c:auto val="1"/>
        <c:lblAlgn val="ctr"/>
        <c:lblOffset val="100"/>
        <c:noMultiLvlLbl val="0"/>
      </c:catAx>
      <c:valAx>
        <c:axId val="56027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784064"/>
        <c:crosses val="autoZero"/>
        <c:crossBetween val="between"/>
      </c:valAx>
      <c:valAx>
        <c:axId val="92100001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537184"/>
        <c:crosses val="max"/>
        <c:crossBetween val="between"/>
      </c:valAx>
      <c:catAx>
        <c:axId val="438537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21000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rgbClr val="0097CC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2022-23</a:t>
            </a:r>
            <a:r>
              <a:rPr lang="en-US" b="1" baseline="0"/>
              <a:t> BOE Budget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'BOE Budget_Graphic_FY23'!$E$143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66-4A00-B9AB-418CAE968816}"/>
              </c:ext>
            </c:extLst>
          </c:dPt>
          <c:dPt>
            <c:idx val="3"/>
            <c:invertIfNegative val="0"/>
            <c:bubble3D val="0"/>
            <c:spPr>
              <a:solidFill>
                <a:srgbClr val="FFC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466-4A00-B9AB-418CAE968816}"/>
              </c:ext>
            </c:extLst>
          </c:dPt>
          <c:cat>
            <c:strRef>
              <c:f>'BOE Budget_Graphic_FY23'!$D$144:$D$147</c:f>
              <c:strCache>
                <c:ptCount val="4"/>
                <c:pt idx="0">
                  <c:v>City</c:v>
                </c:pt>
                <c:pt idx="1">
                  <c:v>ECS Total*</c:v>
                </c:pt>
                <c:pt idx="3">
                  <c:v>Grand Total</c:v>
                </c:pt>
              </c:strCache>
            </c:strRef>
          </c:cat>
          <c:val>
            <c:numRef>
              <c:f>'BOE Budget_Graphic_FY23'!$E$144:$E$147</c:f>
              <c:numCache>
                <c:formatCode>#,##0</c:formatCode>
                <c:ptCount val="4"/>
                <c:pt idx="0">
                  <c:v>73040631</c:v>
                </c:pt>
                <c:pt idx="1">
                  <c:v>188959875</c:v>
                </c:pt>
                <c:pt idx="3">
                  <c:v>262000506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66-4A00-B9AB-418CAE968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1784064"/>
        <c:axId val="560274576"/>
      </c:barChart>
      <c:lineChart>
        <c:grouping val="standard"/>
        <c:varyColors val="0"/>
        <c:ser>
          <c:idx val="1"/>
          <c:order val="1"/>
          <c:tx>
            <c:strRef>
              <c:f>'BOE Budget_Graphic_FY23'!$F$143</c:f>
              <c:strCache>
                <c:ptCount val="1"/>
                <c:pt idx="0">
                  <c:v>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'BOE Budget_Graphic_FY23'!$D$144:$D$147</c:f>
              <c:strCache>
                <c:ptCount val="4"/>
                <c:pt idx="0">
                  <c:v>City</c:v>
                </c:pt>
                <c:pt idx="1">
                  <c:v>ECS Total*</c:v>
                </c:pt>
                <c:pt idx="3">
                  <c:v>Grand Total</c:v>
                </c:pt>
              </c:strCache>
            </c:strRef>
          </c:cat>
          <c:val>
            <c:numRef>
              <c:f>'BOE Budget_Graphic_FY23'!$F$144:$F$147</c:f>
              <c:numCache>
                <c:formatCode>0.0%</c:formatCode>
                <c:ptCount val="4"/>
                <c:pt idx="0">
                  <c:v>0.27878049594301163</c:v>
                </c:pt>
                <c:pt idx="1">
                  <c:v>0.72121950405698831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466-4A00-B9AB-418CAE968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537184"/>
        <c:axId val="921000016"/>
      </c:lineChart>
      <c:catAx>
        <c:axId val="46178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274576"/>
        <c:crosses val="autoZero"/>
        <c:auto val="1"/>
        <c:lblAlgn val="ctr"/>
        <c:lblOffset val="100"/>
        <c:noMultiLvlLbl val="0"/>
      </c:catAx>
      <c:valAx>
        <c:axId val="56027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784064"/>
        <c:crosses val="autoZero"/>
        <c:crossBetween val="between"/>
      </c:valAx>
      <c:valAx>
        <c:axId val="92100001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537184"/>
        <c:crosses val="max"/>
        <c:crossBetween val="between"/>
      </c:valAx>
      <c:catAx>
        <c:axId val="438537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21000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rgbClr val="0097CC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198437</xdr:colOff>
      <xdr:row>2</xdr:row>
      <xdr:rowOff>104774</xdr:rowOff>
    </xdr:from>
    <xdr:to>
      <xdr:col>13</xdr:col>
      <xdr:colOff>571499</xdr:colOff>
      <xdr:row>17</xdr:row>
      <xdr:rowOff>97630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1A5B609-57BA-4A62-9A54-E642C13E5C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206376</xdr:colOff>
      <xdr:row>19</xdr:row>
      <xdr:rowOff>136524</xdr:rowOff>
    </xdr:from>
    <xdr:to>
      <xdr:col>13</xdr:col>
      <xdr:colOff>579438</xdr:colOff>
      <xdr:row>34</xdr:row>
      <xdr:rowOff>129380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C39500F-BAB3-4D98-B627-F450246E3A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198438</xdr:colOff>
      <xdr:row>35</xdr:row>
      <xdr:rowOff>156368</xdr:rowOff>
    </xdr:from>
    <xdr:to>
      <xdr:col>13</xdr:col>
      <xdr:colOff>571501</xdr:colOff>
      <xdr:row>50</xdr:row>
      <xdr:rowOff>149224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5AFC9B0-9D0A-44FF-9D4B-85170F5F92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194467</xdr:colOff>
      <xdr:row>51</xdr:row>
      <xdr:rowOff>132555</xdr:rowOff>
    </xdr:from>
    <xdr:to>
      <xdr:col>13</xdr:col>
      <xdr:colOff>567530</xdr:colOff>
      <xdr:row>66</xdr:row>
      <xdr:rowOff>125412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ED395FE6-20FE-405B-A004-6FF068EB48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170656</xdr:colOff>
      <xdr:row>71</xdr:row>
      <xdr:rowOff>0</xdr:rowOff>
    </xdr:from>
    <xdr:to>
      <xdr:col>13</xdr:col>
      <xdr:colOff>543719</xdr:colOff>
      <xdr:row>85</xdr:row>
      <xdr:rowOff>161131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239A0D62-5B7F-4EA7-9167-AED156F404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170656</xdr:colOff>
      <xdr:row>88</xdr:row>
      <xdr:rowOff>0</xdr:rowOff>
    </xdr:from>
    <xdr:to>
      <xdr:col>13</xdr:col>
      <xdr:colOff>543719</xdr:colOff>
      <xdr:row>102</xdr:row>
      <xdr:rowOff>161131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977D93C-C3F7-4EE0-9ECF-E4B285A65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170656</xdr:colOff>
      <xdr:row>106</xdr:row>
      <xdr:rowOff>0</xdr:rowOff>
    </xdr:from>
    <xdr:to>
      <xdr:col>13</xdr:col>
      <xdr:colOff>543719</xdr:colOff>
      <xdr:row>120</xdr:row>
      <xdr:rowOff>161131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D4D78B3B-0AF1-4AB2-82FB-42D03D84A6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170656</xdr:colOff>
      <xdr:row>124</xdr:row>
      <xdr:rowOff>0</xdr:rowOff>
    </xdr:from>
    <xdr:to>
      <xdr:col>13</xdr:col>
      <xdr:colOff>543719</xdr:colOff>
      <xdr:row>138</xdr:row>
      <xdr:rowOff>161131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19D9CF81-0CB3-46E5-90F7-DB77A736B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170656</xdr:colOff>
      <xdr:row>142</xdr:row>
      <xdr:rowOff>0</xdr:rowOff>
    </xdr:from>
    <xdr:to>
      <xdr:col>13</xdr:col>
      <xdr:colOff>543719</xdr:colOff>
      <xdr:row>156</xdr:row>
      <xdr:rowOff>161131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3181AA83-A188-447A-A8E1-A70790008F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602455</xdr:colOff>
      <xdr:row>19</xdr:row>
      <xdr:rowOff>15083</xdr:rowOff>
    </xdr:from>
    <xdr:to>
      <xdr:col>8</xdr:col>
      <xdr:colOff>126205</xdr:colOff>
      <xdr:row>33</xdr:row>
      <xdr:rowOff>158751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EA317B-E52C-470B-8142-7C3283E714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596105</xdr:colOff>
      <xdr:row>34</xdr:row>
      <xdr:rowOff>107157</xdr:rowOff>
    </xdr:from>
    <xdr:to>
      <xdr:col>8</xdr:col>
      <xdr:colOff>119855</xdr:colOff>
      <xdr:row>48</xdr:row>
      <xdr:rowOff>120650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EF5A235-6B9D-4006-A2F7-ABBDC9E884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oefile\staff\Connecticut\Commissioner's%20District\Curiale\2015-16\Curiale_DRAFT+2015-16+Planning+and+Budget+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oefile\staff\Users\Marlene\Documents\Connecticut\Budget%20FY%2015\School%20Allocations\Allocation_Model_2014-15_PROTOTYPE_4-10-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oefile\staff\Users\Marlene\Documents\Connecticut\Budget%20FY%2015\School%20Allocations\Allocation_Model_2014-15_PROTOTYPE_2-11-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School Information"/>
      <sheetName val="2. 2015-16 Priorities"/>
      <sheetName val="3. FY16 Network Budget"/>
      <sheetName val="4. FY16 Bond Request"/>
      <sheetName val="FY16_CN_CURIALE 16059"/>
      <sheetName val="Sheet1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1 - Needs Improvement</v>
          </cell>
        </row>
        <row r="4">
          <cell r="B4" t="str">
            <v>2 - Developing</v>
          </cell>
        </row>
        <row r="5">
          <cell r="B5" t="str">
            <v>3 - Proficient</v>
          </cell>
        </row>
        <row r="6">
          <cell r="B6" t="str">
            <v>4 - Exemplary</v>
          </cell>
        </row>
        <row r="7">
          <cell r="B7" t="str">
            <v>Blank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ING MODEL"/>
      <sheetName val="Supp Staff_ST TR_UI"/>
      <sheetName val="Reg-Elem"/>
      <sheetName val="Reg-HS"/>
      <sheetName val="Operating Alloc"/>
      <sheetName val="Par Inv Elem Title I"/>
      <sheetName val="Par Inv HS Priority"/>
      <sheetName val="Pos Alloc - ELEM"/>
      <sheetName val="Coach#2"/>
      <sheetName val="DELTA-T"/>
      <sheetName val="ELEM_Class Change"/>
      <sheetName val="FY 14 Classes"/>
      <sheetName val="Pos Alloc - HS"/>
      <sheetName val="SPED_SUPP Summary"/>
      <sheetName val="BLC"/>
      <sheetName val="BLC_ORG"/>
      <sheetName val="BARNUM"/>
      <sheetName val="Barnum_ORG"/>
      <sheetName val="BEARDSLEY"/>
      <sheetName val="Beardsley_ORG"/>
      <sheetName val="BLACKROCK"/>
      <sheetName val="BlackRock_ORG"/>
      <sheetName val="BLACKHAM"/>
      <sheetName val="Blackham_ORG"/>
      <sheetName val="BRYANT"/>
      <sheetName val="Bryant_ORG"/>
      <sheetName val="BATALLA"/>
      <sheetName val="Batalla_ORG"/>
      <sheetName val="CLASSICAL"/>
      <sheetName val="Classical_ORG"/>
      <sheetName val="COLUMBUS"/>
      <sheetName val="Columbus_ORG"/>
      <sheetName val="ColumbusAnnex"/>
      <sheetName val="ColumbusAnnex_ORG"/>
      <sheetName val="DISCOVERY"/>
      <sheetName val="Discovery_ORG"/>
      <sheetName val="EDISON"/>
      <sheetName val="Edison_ORG"/>
      <sheetName val="JOHNSON"/>
      <sheetName val="Johnson_ORG"/>
      <sheetName val="HALL"/>
      <sheetName val="Hall_ORG"/>
      <sheetName val="HALLEN"/>
      <sheetName val="Hallen_ORG"/>
      <sheetName val="HHM"/>
      <sheetName val="HHM_ORG"/>
      <sheetName val="JamesCURIALE"/>
      <sheetName val="JamesCURIALE_Org"/>
      <sheetName val="JettieTISDALE"/>
      <sheetName val="JettieTISDALE_ORG"/>
      <sheetName val="JohnWINTHROP"/>
      <sheetName val="JohnWINTHROP_ORG"/>
      <sheetName val="MARIN"/>
      <sheetName val="Marin_ORG"/>
      <sheetName val="MADISON"/>
      <sheetName val="Madison_ORG"/>
      <sheetName val="MCM"/>
      <sheetName val="MCM_Org"/>
      <sheetName val="PCM"/>
      <sheetName val="PCM_Org"/>
      <sheetName val="PaulDUNBAR"/>
      <sheetName val="PaulDUNBAR_Org"/>
      <sheetName val="READ"/>
      <sheetName val="Read_Org"/>
      <sheetName val="ROOSEVELT"/>
      <sheetName val="Roosevelt_ORG"/>
      <sheetName val="SKANE"/>
      <sheetName val="Skane_ORG"/>
      <sheetName val="ThomasHOOKER"/>
      <sheetName val="ThomasHOOKER_ORG"/>
      <sheetName val="WALTERSVILLE"/>
      <sheetName val="Waltersville_ORG"/>
      <sheetName val="WilburCROSS"/>
      <sheetName val="WilburCROSS_ORG"/>
      <sheetName val="BASSICK"/>
      <sheetName val="Bassick_ORG"/>
      <sheetName val="CENTRAL"/>
      <sheetName val="Central_ORG"/>
      <sheetName val="HARDING"/>
      <sheetName val="Harding_ORG"/>
      <sheetName val="BMA"/>
      <sheetName val="BMA_ORG"/>
      <sheetName val="FWC Info Tech"/>
      <sheetName val="InfoTech_ORG"/>
      <sheetName val="FWC Zoo Sci"/>
      <sheetName val="Zoo Sci_ORG"/>
      <sheetName val="FWC Phy Sci"/>
      <sheetName val="Phy Sci_ORG"/>
      <sheetName val="AQUA"/>
      <sheetName val="AQUA_ORG"/>
      <sheetName val="LEGEND"/>
      <sheetName val="MENU"/>
    </sheetNames>
    <sheetDataSet>
      <sheetData sheetId="0"/>
      <sheetData sheetId="1"/>
      <sheetData sheetId="2">
        <row r="7">
          <cell r="BE7">
            <v>661</v>
          </cell>
        </row>
      </sheetData>
      <sheetData sheetId="3">
        <row r="10">
          <cell r="B10">
            <v>100</v>
          </cell>
        </row>
      </sheetData>
      <sheetData sheetId="4">
        <row r="5">
          <cell r="I5">
            <v>30</v>
          </cell>
        </row>
      </sheetData>
      <sheetData sheetId="5"/>
      <sheetData sheetId="6">
        <row r="7">
          <cell r="D7">
            <v>7</v>
          </cell>
        </row>
      </sheetData>
      <sheetData sheetId="7">
        <row r="10">
          <cell r="S10">
            <v>3</v>
          </cell>
        </row>
      </sheetData>
      <sheetData sheetId="8"/>
      <sheetData sheetId="9"/>
      <sheetData sheetId="10"/>
      <sheetData sheetId="11">
        <row r="10">
          <cell r="S10">
            <v>3</v>
          </cell>
        </row>
      </sheetData>
      <sheetData sheetId="12">
        <row r="12">
          <cell r="E12">
            <v>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7">
          <cell r="Q7">
            <v>1</v>
          </cell>
        </row>
      </sheetData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>
        <row r="2">
          <cell r="A2" t="str">
            <v>Leave-LTS Coverage</v>
          </cell>
        </row>
        <row r="40">
          <cell r="A40" t="str">
            <v>ELA</v>
          </cell>
        </row>
        <row r="41">
          <cell r="A41" t="str">
            <v>Mathematics</v>
          </cell>
        </row>
        <row r="42">
          <cell r="A42" t="str">
            <v>Science</v>
          </cell>
        </row>
        <row r="43">
          <cell r="A43" t="str">
            <v>Social Studies</v>
          </cell>
        </row>
        <row r="44">
          <cell r="A44" t="str">
            <v>Spanish</v>
          </cell>
        </row>
        <row r="45">
          <cell r="A4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ING MODEL"/>
      <sheetName val="Supp Staff_UI_ST"/>
      <sheetName val="Reg-Elem"/>
      <sheetName val="Reg-HS"/>
      <sheetName val="Operating Alloc"/>
      <sheetName val="Par Inv Elem Title I"/>
      <sheetName val="Par Inv HS Priority"/>
      <sheetName val="Pos Alloc - ELEM"/>
      <sheetName val="ELEM_Class Change"/>
      <sheetName val="FY 14 Classes"/>
      <sheetName val="Pos Alloc - HS"/>
      <sheetName val="SPED_SUPP Summary"/>
      <sheetName val="BLC"/>
      <sheetName val="BARNUM"/>
      <sheetName val="Barnum_ORG"/>
      <sheetName val="BEARDSLEY"/>
      <sheetName val="Beardsley_ORG"/>
      <sheetName val="BLACKROCK"/>
      <sheetName val="BlackRock_ORG"/>
      <sheetName val="BLACKHAM"/>
      <sheetName val="Blackham_ORG"/>
      <sheetName val="BRYANT"/>
      <sheetName val="Bryant_ORG"/>
      <sheetName val="BATALLA"/>
      <sheetName val="Batalla_ORG"/>
      <sheetName val="CLASSICAL"/>
      <sheetName val="Classical_ORG"/>
      <sheetName val="COLUMBUS"/>
      <sheetName val="Columbus_ORG"/>
      <sheetName val="ColumbusAnnex"/>
      <sheetName val="ColumbusAnnex_ORG"/>
      <sheetName val="DISCOVERY"/>
      <sheetName val="Discovery_ORG"/>
      <sheetName val="EDISON"/>
      <sheetName val="Edison_ORG"/>
      <sheetName val="JOHNSON"/>
      <sheetName val="Johnson_ORG"/>
      <sheetName val="HALL"/>
      <sheetName val="Hall_ORG"/>
      <sheetName val="HALLEN"/>
      <sheetName val="Hallen_ORG"/>
      <sheetName val="HHM"/>
      <sheetName val="HHM_ORG"/>
      <sheetName val="JamesCURIALE"/>
      <sheetName val="JamesCURIALE_Org"/>
      <sheetName val="JettieTISDALE"/>
      <sheetName val="JettieTISDALE_ORG"/>
      <sheetName val="JohnWINTHROP"/>
      <sheetName val="JohnWINTHROP_ORG"/>
      <sheetName val="MARIN"/>
      <sheetName val="Marin_ORG"/>
      <sheetName val="MADISON"/>
      <sheetName val="Madison_ORG"/>
      <sheetName val="MCM"/>
      <sheetName val="MCM_Org"/>
      <sheetName val="PCM"/>
      <sheetName val="PCM_Org"/>
      <sheetName val="PaulDUNBAR"/>
      <sheetName val="PaulDUNBAR_Org"/>
      <sheetName val="READ"/>
      <sheetName val="Read_Org"/>
      <sheetName val="ROOSEVELT"/>
      <sheetName val="Roosevelt_ORG"/>
      <sheetName val="SKANE"/>
      <sheetName val="Skane_ORG"/>
      <sheetName val="ThomasHOOKER"/>
      <sheetName val="ThomasHOOKER_ORG"/>
      <sheetName val="WALTERSVILLE"/>
      <sheetName val="Waltersville_ORG"/>
      <sheetName val="WilburCROSS"/>
      <sheetName val="WilburCROSS_ORG"/>
      <sheetName val="BASSICK"/>
      <sheetName val="Bassick_ORG"/>
      <sheetName val="CENTRAL"/>
      <sheetName val="Central_ORG"/>
      <sheetName val="HARDING"/>
      <sheetName val="Harding_ORG"/>
      <sheetName val="BMA"/>
      <sheetName val="BMA_ORG"/>
      <sheetName val="FWC Info Tech"/>
      <sheetName val="FWC Zoo Sci"/>
      <sheetName val="FWC Phy Sci"/>
      <sheetName val="AQUA"/>
      <sheetName val="LEGEND"/>
      <sheetName val="MEN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>
        <row r="2">
          <cell r="A2" t="str">
            <v>Leave-LTS Coverage</v>
          </cell>
        </row>
        <row r="3">
          <cell r="A3" t="str">
            <v>New Alloc Position</v>
          </cell>
        </row>
        <row r="4">
          <cell r="A4" t="str">
            <v>Resignation</v>
          </cell>
        </row>
        <row r="5">
          <cell r="A5" t="str">
            <v>Retirement</v>
          </cell>
        </row>
        <row r="6">
          <cell r="A6" t="str">
            <v>Termination</v>
          </cell>
        </row>
        <row r="7">
          <cell r="A7" t="str">
            <v>Transfer-External</v>
          </cell>
        </row>
        <row r="8">
          <cell r="A8" t="str">
            <v>Transfer-Internal</v>
          </cell>
        </row>
        <row r="9">
          <cell r="A9" t="str">
            <v>Non-Renewal</v>
          </cell>
        </row>
        <row r="10">
          <cell r="A10" t="str">
            <v>Other-Explain</v>
          </cell>
        </row>
        <row r="17">
          <cell r="A17" t="str">
            <v>Art</v>
          </cell>
        </row>
        <row r="18">
          <cell r="A18" t="str">
            <v>Bilingual</v>
          </cell>
        </row>
        <row r="19">
          <cell r="A19" t="str">
            <v>Computer Literacy</v>
          </cell>
        </row>
        <row r="20">
          <cell r="A20" t="str">
            <v>Dance</v>
          </cell>
        </row>
        <row r="21">
          <cell r="A21" t="str">
            <v>ELA</v>
          </cell>
        </row>
        <row r="22">
          <cell r="A22" t="str">
            <v>Library/Media</v>
          </cell>
        </row>
        <row r="23">
          <cell r="A23" t="str">
            <v>Music</v>
          </cell>
        </row>
        <row r="24">
          <cell r="A24" t="str">
            <v>PE</v>
          </cell>
        </row>
        <row r="25">
          <cell r="A25" t="str">
            <v>Science</v>
          </cell>
        </row>
        <row r="26">
          <cell r="A26" t="str">
            <v>Social Studies</v>
          </cell>
        </row>
        <row r="27">
          <cell r="A27" t="str">
            <v>Spanish</v>
          </cell>
        </row>
        <row r="28">
          <cell r="A28" t="str">
            <v>SRBI/Literacy</v>
          </cell>
        </row>
        <row r="29">
          <cell r="A29" t="str">
            <v>SRBI/Mathematics</v>
          </cell>
        </row>
        <row r="30">
          <cell r="A30" t="str">
            <v>Technology</v>
          </cell>
        </row>
        <row r="31">
          <cell r="A31" t="str">
            <v>Theatre/Drama</v>
          </cell>
        </row>
        <row r="32">
          <cell r="A32" t="str">
            <v>Visual Arts</v>
          </cell>
        </row>
        <row r="33">
          <cell r="A33" t="str">
            <v>World Languages</v>
          </cell>
        </row>
        <row r="34">
          <cell r="A34" t="str">
            <v>Writing</v>
          </cell>
        </row>
        <row r="35">
          <cell r="A35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3:L12" totalsRowShown="0" headerRowDxfId="12">
  <autoFilter ref="A3:L12" xr:uid="{00000000-0009-0000-0100-000002000000}"/>
  <tableColumns count="12">
    <tableColumn id="1" xr3:uid="{00000000-0010-0000-0000-000001000000}" name="Year" dataDxfId="11"/>
    <tableColumn id="2" xr3:uid="{00000000-0010-0000-0000-000002000000}" name="City" dataDxfId="10"/>
    <tableColumn id="3" xr3:uid="{00000000-0010-0000-0000-000003000000}" name="State ECS" dataDxfId="9"/>
    <tableColumn id="4" xr3:uid="{00000000-0010-0000-0000-000004000000}" name="Alliance ECS" dataDxfId="8"/>
    <tableColumn id="5" xr3:uid="{00000000-0010-0000-0000-000005000000}" name="Grand Total" dataDxfId="7">
      <calculatedColumnFormula>SUM(B4:D4)</calculatedColumnFormula>
    </tableColumn>
    <tableColumn id="6" xr3:uid="{00000000-0010-0000-0000-000006000000}" name="City MUNIS Amount" dataDxfId="6">
      <calculatedColumnFormula>SUM(Table2[[#This Row],[City]:[State ECS]])</calculatedColumnFormula>
    </tableColumn>
    <tableColumn id="7" xr3:uid="{00000000-0010-0000-0000-000007000000}" name="Total Change" dataDxfId="5">
      <calculatedColumnFormula>E4-E3</calculatedColumnFormula>
    </tableColumn>
    <tableColumn id="8" xr3:uid="{00000000-0010-0000-0000-000008000000}" name="City Change" dataDxfId="4">
      <calculatedColumnFormula>B4-B3</calculatedColumnFormula>
    </tableColumn>
    <tableColumn id="9" xr3:uid="{00000000-0010-0000-0000-000009000000}" name="State ECS Change" dataDxfId="3">
      <calculatedColumnFormula>C4-C3</calculatedColumnFormula>
    </tableColumn>
    <tableColumn id="13" xr3:uid="{00000000-0010-0000-0000-00000D000000}" name="Alliance ECS Change" dataDxfId="2">
      <calculatedColumnFormula>Table2[[#This Row],[Alliance ECS]]-D3</calculatedColumnFormula>
    </tableColumn>
    <tableColumn id="14" xr3:uid="{00000000-0010-0000-0000-00000E000000}" name="Total STATE Change" dataDxfId="1">
      <calculatedColumnFormula>Table2[[#This Row],[State ECS Change]]+Table2[[#This Row],[Alliance ECS Change]]</calculatedColumnFormula>
    </tableColumn>
    <tableColumn id="15" xr3:uid="{00000000-0010-0000-0000-00000F000000}" name="NOTES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J33"/>
  <sheetViews>
    <sheetView workbookViewId="0">
      <selection activeCell="L15" sqref="L15"/>
    </sheetView>
  </sheetViews>
  <sheetFormatPr defaultRowHeight="14.5" x14ac:dyDescent="0.35"/>
  <cols>
    <col min="7" max="7" width="15.81640625" customWidth="1"/>
    <col min="9" max="10" width="15.81640625" customWidth="1"/>
  </cols>
  <sheetData>
    <row r="2" spans="1:10" x14ac:dyDescent="0.35">
      <c r="E2" s="2"/>
      <c r="F2" s="2"/>
      <c r="G2" s="2" t="s">
        <v>0</v>
      </c>
      <c r="H2" s="2"/>
      <c r="I2" s="2"/>
    </row>
    <row r="3" spans="1:10" x14ac:dyDescent="0.35">
      <c r="E3" s="2"/>
      <c r="F3" s="2" t="s">
        <v>19</v>
      </c>
      <c r="G3" s="2"/>
      <c r="H3" s="2"/>
      <c r="I3" s="2"/>
    </row>
    <row r="5" spans="1:10" x14ac:dyDescent="0.35">
      <c r="A5" s="2"/>
      <c r="B5" s="2" t="s">
        <v>12</v>
      </c>
      <c r="C5" s="2"/>
      <c r="D5" s="2"/>
      <c r="E5" s="2"/>
      <c r="F5" s="2"/>
      <c r="G5" s="2"/>
      <c r="H5" s="2"/>
      <c r="I5" s="1">
        <v>164895344</v>
      </c>
      <c r="J5" s="2"/>
    </row>
    <row r="6" spans="1:10" x14ac:dyDescent="0.35">
      <c r="A6" s="2"/>
      <c r="B6" s="2"/>
      <c r="C6" s="2"/>
      <c r="D6" s="2"/>
      <c r="E6" s="2"/>
      <c r="F6" s="2"/>
      <c r="G6" s="2"/>
      <c r="H6" s="2"/>
      <c r="I6" s="1"/>
      <c r="J6" s="2"/>
    </row>
    <row r="7" spans="1:10" x14ac:dyDescent="0.35">
      <c r="A7" s="2"/>
      <c r="B7" s="2" t="s">
        <v>1</v>
      </c>
      <c r="C7" s="2"/>
      <c r="D7" s="2"/>
      <c r="E7" s="2"/>
      <c r="F7" s="2"/>
      <c r="G7" s="2"/>
      <c r="H7" s="2"/>
      <c r="I7" s="1">
        <v>164189303</v>
      </c>
      <c r="J7" s="2"/>
    </row>
    <row r="8" spans="1:10" ht="15" thickBot="1" x14ac:dyDescent="0.4">
      <c r="A8" s="2"/>
      <c r="B8" s="3" t="s">
        <v>2</v>
      </c>
      <c r="C8" s="3"/>
      <c r="D8" s="3"/>
      <c r="E8" s="3"/>
      <c r="F8" s="3"/>
      <c r="G8" s="3"/>
      <c r="H8" s="3"/>
      <c r="I8" s="4">
        <v>200634</v>
      </c>
      <c r="J8" s="2"/>
    </row>
    <row r="9" spans="1:10" x14ac:dyDescent="0.35">
      <c r="A9" s="2"/>
      <c r="B9" s="2" t="s">
        <v>3</v>
      </c>
      <c r="C9" s="2"/>
      <c r="D9" s="2"/>
      <c r="E9" s="2"/>
      <c r="F9" s="2"/>
      <c r="G9" s="2"/>
      <c r="H9" s="2"/>
      <c r="I9" s="1">
        <f>SUM(I7:I8)</f>
        <v>164389937</v>
      </c>
      <c r="J9" s="2"/>
    </row>
    <row r="10" spans="1:10" x14ac:dyDescent="0.35">
      <c r="A10" s="2"/>
      <c r="B10" s="2"/>
      <c r="C10" s="2"/>
      <c r="D10" s="2"/>
      <c r="E10" s="2"/>
      <c r="F10" s="2"/>
      <c r="G10" s="2"/>
      <c r="H10" s="2"/>
      <c r="I10" s="1"/>
      <c r="J10" s="2"/>
    </row>
    <row r="11" spans="1:10" x14ac:dyDescent="0.35">
      <c r="A11" s="2"/>
      <c r="B11" s="2" t="s">
        <v>14</v>
      </c>
      <c r="C11" s="2"/>
      <c r="D11" s="2"/>
      <c r="E11" s="2"/>
      <c r="F11" s="2"/>
      <c r="G11" s="2"/>
      <c r="H11" s="2"/>
      <c r="I11" s="1">
        <f>I5-I9</f>
        <v>505407</v>
      </c>
      <c r="J11" s="2"/>
    </row>
    <row r="12" spans="1:10" x14ac:dyDescent="0.35">
      <c r="A12" s="2"/>
      <c r="B12" s="2"/>
      <c r="C12" s="2"/>
      <c r="D12" s="2"/>
      <c r="E12" s="2"/>
      <c r="F12" s="2"/>
      <c r="G12" s="2"/>
      <c r="H12" s="2"/>
      <c r="I12" s="1"/>
      <c r="J12" s="2"/>
    </row>
    <row r="13" spans="1:10" x14ac:dyDescent="0.35">
      <c r="A13" s="2"/>
      <c r="B13" s="2"/>
      <c r="C13" s="2"/>
      <c r="D13" s="2"/>
      <c r="E13" s="2"/>
      <c r="F13" s="2"/>
      <c r="G13" s="2"/>
      <c r="H13" s="2"/>
      <c r="I13" s="1"/>
      <c r="J13" s="2"/>
    </row>
    <row r="14" spans="1:10" x14ac:dyDescent="0.35">
      <c r="A14" s="2"/>
      <c r="B14" s="2"/>
      <c r="C14" s="2"/>
      <c r="D14" s="2"/>
      <c r="E14" s="2"/>
      <c r="F14" s="2"/>
      <c r="G14" s="2"/>
      <c r="H14" s="2"/>
      <c r="I14" s="1"/>
      <c r="J14" s="2"/>
    </row>
    <row r="15" spans="1:10" ht="15" thickBot="1" x14ac:dyDescent="0.4">
      <c r="A15" s="2"/>
      <c r="B15" s="3" t="s">
        <v>13</v>
      </c>
      <c r="C15" s="3"/>
      <c r="D15" s="3"/>
      <c r="E15" s="3"/>
      <c r="F15" s="3"/>
      <c r="G15" s="3"/>
      <c r="H15" s="2"/>
      <c r="I15" s="2"/>
      <c r="J15" s="2"/>
    </row>
    <row r="16" spans="1:10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35">
      <c r="A17" s="2"/>
      <c r="B17" s="2" t="s">
        <v>4</v>
      </c>
      <c r="C17" s="2"/>
      <c r="D17" s="2"/>
      <c r="E17" s="2"/>
      <c r="F17" s="2"/>
      <c r="G17" s="2"/>
      <c r="H17" s="2"/>
      <c r="I17" s="1"/>
      <c r="J17" s="1">
        <v>164395937</v>
      </c>
    </row>
    <row r="18" spans="1:10" x14ac:dyDescent="0.35">
      <c r="A18" s="2" t="s">
        <v>5</v>
      </c>
      <c r="B18" s="2" t="s">
        <v>6</v>
      </c>
      <c r="C18" s="2"/>
      <c r="D18" s="2"/>
      <c r="E18" s="2"/>
      <c r="F18" s="2"/>
      <c r="G18" s="2"/>
      <c r="H18" s="2"/>
      <c r="I18" s="1">
        <v>-25958442</v>
      </c>
      <c r="J18" s="1"/>
    </row>
    <row r="19" spans="1:10" x14ac:dyDescent="0.35">
      <c r="A19" s="2" t="s">
        <v>5</v>
      </c>
      <c r="B19" s="2" t="s">
        <v>7</v>
      </c>
      <c r="C19" s="2"/>
      <c r="D19" s="2"/>
      <c r="E19" s="2"/>
      <c r="F19" s="2"/>
      <c r="G19" s="2"/>
      <c r="H19" s="2"/>
      <c r="I19" s="20">
        <f>-I11</f>
        <v>-505407</v>
      </c>
      <c r="J19" s="1"/>
    </row>
    <row r="20" spans="1:10" x14ac:dyDescent="0.35">
      <c r="A20" s="2" t="s">
        <v>5</v>
      </c>
      <c r="B20" s="2" t="s">
        <v>20</v>
      </c>
      <c r="C20" s="2"/>
      <c r="D20" s="2"/>
      <c r="E20" s="2"/>
      <c r="F20" s="2"/>
      <c r="G20" s="2"/>
      <c r="H20" s="2"/>
      <c r="I20" s="20">
        <v>-867000</v>
      </c>
      <c r="J20" s="1"/>
    </row>
    <row r="21" spans="1:10" ht="15" thickBot="1" x14ac:dyDescent="0.4">
      <c r="A21" s="2" t="s">
        <v>5</v>
      </c>
      <c r="B21" s="3" t="s">
        <v>21</v>
      </c>
      <c r="C21" s="3"/>
      <c r="D21" s="3"/>
      <c r="E21" s="3"/>
      <c r="F21" s="3"/>
      <c r="G21" s="3"/>
      <c r="H21" s="3"/>
      <c r="I21" s="21">
        <v>-1340000</v>
      </c>
      <c r="J21" s="1"/>
    </row>
    <row r="22" spans="1:10" x14ac:dyDescent="0.35">
      <c r="A22" s="2"/>
      <c r="B22" s="2" t="s">
        <v>8</v>
      </c>
      <c r="C22" s="2"/>
      <c r="D22" s="2"/>
      <c r="E22" s="2"/>
      <c r="F22" s="2"/>
      <c r="G22" s="2"/>
      <c r="H22" s="2"/>
      <c r="I22" s="1">
        <f>SUM(I18:I21)</f>
        <v>-28670849</v>
      </c>
      <c r="J22" s="1"/>
    </row>
    <row r="24" spans="1:10" x14ac:dyDescent="0.35">
      <c r="A24" s="2"/>
      <c r="B24" s="2" t="s">
        <v>9</v>
      </c>
      <c r="C24" s="2"/>
      <c r="D24" s="2"/>
      <c r="E24" s="2"/>
      <c r="F24" s="2"/>
      <c r="G24" s="2"/>
      <c r="H24" s="2"/>
      <c r="I24" s="1">
        <v>227578913</v>
      </c>
    </row>
    <row r="25" spans="1:10" ht="15" thickBot="1" x14ac:dyDescent="0.4">
      <c r="A25" s="2" t="s">
        <v>5</v>
      </c>
      <c r="B25" s="3" t="s">
        <v>10</v>
      </c>
      <c r="C25" s="3"/>
      <c r="D25" s="3"/>
      <c r="E25" s="3"/>
      <c r="F25" s="3"/>
      <c r="G25" s="3"/>
      <c r="H25" s="3"/>
      <c r="I25" s="4">
        <f>I22</f>
        <v>-28670849</v>
      </c>
    </row>
    <row r="26" spans="1:10" x14ac:dyDescent="0.35">
      <c r="A26" s="2"/>
      <c r="B26" s="2" t="s">
        <v>11</v>
      </c>
      <c r="C26" s="2"/>
      <c r="D26" s="2"/>
      <c r="E26" s="2"/>
      <c r="F26" s="2"/>
      <c r="G26" s="2"/>
      <c r="H26" s="2"/>
      <c r="I26" s="1">
        <f>SUM(I24+I25)</f>
        <v>198908064</v>
      </c>
    </row>
    <row r="28" spans="1:10" ht="15" thickBot="1" x14ac:dyDescent="0.4">
      <c r="A28" s="3" t="s">
        <v>15</v>
      </c>
    </row>
    <row r="29" spans="1:10" x14ac:dyDescent="0.35">
      <c r="A29" s="2" t="s">
        <v>17</v>
      </c>
    </row>
    <row r="30" spans="1:10" x14ac:dyDescent="0.35">
      <c r="A30" s="2" t="s">
        <v>16</v>
      </c>
    </row>
    <row r="31" spans="1:10" x14ac:dyDescent="0.35">
      <c r="A31" s="2" t="s">
        <v>22</v>
      </c>
    </row>
    <row r="32" spans="1:10" x14ac:dyDescent="0.35">
      <c r="A32" s="2" t="s">
        <v>23</v>
      </c>
    </row>
    <row r="33" spans="1:1" x14ac:dyDescent="0.35">
      <c r="A33" s="2" t="s">
        <v>18</v>
      </c>
    </row>
  </sheetData>
  <pageMargins left="0.45" right="0.45" top="0.5" bottom="0.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O42"/>
  <sheetViews>
    <sheetView showGridLines="0" topLeftCell="A16" workbookViewId="0">
      <selection activeCell="J22" sqref="J22:J24"/>
    </sheetView>
  </sheetViews>
  <sheetFormatPr defaultRowHeight="14.5" x14ac:dyDescent="0.35"/>
  <cols>
    <col min="1" max="1" width="4.81640625" customWidth="1"/>
    <col min="2" max="2" width="6.81640625" customWidth="1"/>
    <col min="5" max="5" width="7.81640625" customWidth="1"/>
    <col min="6" max="7" width="9.81640625" customWidth="1"/>
    <col min="8" max="8" width="15.81640625" customWidth="1"/>
    <col min="9" max="9" width="18.1796875" customWidth="1"/>
    <col min="10" max="10" width="15.81640625" customWidth="1"/>
    <col min="11" max="11" width="18" customWidth="1"/>
    <col min="12" max="12" width="3.81640625" customWidth="1"/>
    <col min="13" max="13" width="4.81640625" customWidth="1"/>
  </cols>
  <sheetData>
    <row r="1" spans="1:13" ht="18.5" x14ac:dyDescent="0.45">
      <c r="B1" s="180" t="s">
        <v>24</v>
      </c>
      <c r="C1" s="180"/>
      <c r="D1" s="180"/>
      <c r="E1" s="180"/>
      <c r="F1" s="180"/>
      <c r="G1" s="180"/>
      <c r="H1" s="180"/>
      <c r="I1" s="180"/>
      <c r="J1" s="180"/>
      <c r="K1" s="180"/>
      <c r="L1" s="5"/>
    </row>
    <row r="2" spans="1:13" x14ac:dyDescent="0.35">
      <c r="B2" s="181" t="s">
        <v>0</v>
      </c>
      <c r="C2" s="181"/>
      <c r="D2" s="181"/>
      <c r="E2" s="181"/>
      <c r="F2" s="181"/>
      <c r="G2" s="181"/>
      <c r="H2" s="181"/>
      <c r="I2" s="181"/>
      <c r="J2" s="181"/>
      <c r="K2" s="181"/>
      <c r="L2" s="6"/>
    </row>
    <row r="3" spans="1:13" x14ac:dyDescent="0.35">
      <c r="B3" s="181" t="s">
        <v>19</v>
      </c>
      <c r="C3" s="181"/>
      <c r="D3" s="181"/>
      <c r="E3" s="181"/>
      <c r="F3" s="181"/>
      <c r="G3" s="181"/>
      <c r="H3" s="181"/>
      <c r="I3" s="181"/>
      <c r="J3" s="181"/>
      <c r="K3" s="181"/>
      <c r="L3" s="6"/>
    </row>
    <row r="5" spans="1:13" x14ac:dyDescent="0.35">
      <c r="A5" s="17"/>
      <c r="B5" s="2"/>
      <c r="C5" s="2" t="s">
        <v>12</v>
      </c>
      <c r="D5" s="2"/>
      <c r="E5" s="2"/>
      <c r="F5" s="2"/>
      <c r="G5" s="2"/>
      <c r="H5" s="2"/>
      <c r="I5" s="19" t="s">
        <v>41</v>
      </c>
      <c r="J5" s="1">
        <v>164195344</v>
      </c>
      <c r="K5" s="2"/>
      <c r="L5" s="2"/>
      <c r="M5" s="17"/>
    </row>
    <row r="6" spans="1:13" x14ac:dyDescent="0.35">
      <c r="A6" s="17"/>
      <c r="B6" s="2"/>
      <c r="C6" s="2"/>
      <c r="D6" s="2"/>
      <c r="E6" s="2"/>
      <c r="F6" s="2"/>
      <c r="G6" s="2"/>
      <c r="H6" s="2"/>
      <c r="I6" s="2"/>
      <c r="J6" s="1"/>
      <c r="K6" s="2"/>
      <c r="L6" s="2"/>
      <c r="M6" s="17"/>
    </row>
    <row r="7" spans="1:13" x14ac:dyDescent="0.35">
      <c r="A7" s="17"/>
      <c r="B7" s="2"/>
      <c r="C7" s="2" t="s">
        <v>1</v>
      </c>
      <c r="D7" s="2"/>
      <c r="E7" s="2"/>
      <c r="F7" s="2"/>
      <c r="G7" s="2"/>
      <c r="H7" s="2"/>
      <c r="I7" s="2"/>
      <c r="J7" s="1">
        <f>J5</f>
        <v>164195344</v>
      </c>
      <c r="K7" s="2"/>
      <c r="L7" s="2"/>
      <c r="M7" s="17"/>
    </row>
    <row r="8" spans="1:13" ht="15" thickBot="1" x14ac:dyDescent="0.4">
      <c r="A8" s="17"/>
      <c r="B8" s="2"/>
      <c r="C8" s="3" t="s">
        <v>2</v>
      </c>
      <c r="D8" s="3"/>
      <c r="E8" s="3"/>
      <c r="F8" s="3"/>
      <c r="G8" s="3"/>
      <c r="H8" s="18" t="s">
        <v>39</v>
      </c>
      <c r="I8" s="3"/>
      <c r="K8" s="4">
        <v>200634</v>
      </c>
      <c r="L8" s="1"/>
      <c r="M8" s="17"/>
    </row>
    <row r="9" spans="1:13" x14ac:dyDescent="0.35">
      <c r="A9" s="17"/>
      <c r="B9" s="2"/>
      <c r="C9" s="2" t="s">
        <v>3</v>
      </c>
      <c r="D9" s="2"/>
      <c r="E9" s="2"/>
      <c r="F9" s="2"/>
      <c r="G9" s="2"/>
      <c r="H9" s="2"/>
      <c r="I9" s="2"/>
      <c r="J9" s="1">
        <f>SUM(J7:J8)</f>
        <v>164195344</v>
      </c>
      <c r="K9" s="2"/>
      <c r="L9" s="2"/>
      <c r="M9" s="17"/>
    </row>
    <row r="10" spans="1:13" ht="8.75" customHeight="1" x14ac:dyDescent="0.35">
      <c r="A10" s="17"/>
      <c r="B10" s="2"/>
      <c r="C10" s="2"/>
      <c r="D10" s="2"/>
      <c r="E10" s="2"/>
      <c r="F10" s="2"/>
      <c r="G10" s="2"/>
      <c r="H10" s="2"/>
      <c r="I10" s="2"/>
      <c r="J10" s="1"/>
      <c r="K10" s="2"/>
      <c r="L10" s="2"/>
      <c r="M10" s="17"/>
    </row>
    <row r="11" spans="1:13" x14ac:dyDescent="0.35">
      <c r="A11" s="17"/>
      <c r="B11" s="2"/>
      <c r="C11" s="2" t="s">
        <v>14</v>
      </c>
      <c r="D11" s="2"/>
      <c r="E11" s="2"/>
      <c r="F11" s="2"/>
      <c r="G11" s="2"/>
      <c r="H11" s="2"/>
      <c r="I11" s="2"/>
      <c r="J11" s="1">
        <f>J5-J9</f>
        <v>0</v>
      </c>
      <c r="K11" s="2"/>
      <c r="L11" s="2"/>
      <c r="M11" s="17"/>
    </row>
    <row r="12" spans="1:13" ht="9.75" customHeight="1" x14ac:dyDescent="0.35">
      <c r="A12" s="17"/>
      <c r="B12" s="2"/>
      <c r="C12" s="2"/>
      <c r="D12" s="2"/>
      <c r="E12" s="2"/>
      <c r="F12" s="2"/>
      <c r="G12" s="2"/>
      <c r="H12" s="2"/>
      <c r="I12" s="2"/>
      <c r="J12" s="1"/>
      <c r="K12" s="2"/>
      <c r="L12" s="2"/>
      <c r="M12" s="17"/>
    </row>
    <row r="13" spans="1:13" ht="15" thickBot="1" x14ac:dyDescent="0.4">
      <c r="A13" s="17"/>
      <c r="B13" s="2"/>
      <c r="C13" s="3" t="s">
        <v>13</v>
      </c>
      <c r="D13" s="3"/>
      <c r="E13" s="3"/>
      <c r="F13" s="3"/>
      <c r="G13" s="3"/>
      <c r="H13" s="3"/>
      <c r="I13" s="2"/>
      <c r="J13" s="2"/>
      <c r="K13" s="2"/>
      <c r="L13" s="2"/>
      <c r="M13" s="17"/>
    </row>
    <row r="14" spans="1:13" x14ac:dyDescent="0.35">
      <c r="A14" s="1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17"/>
    </row>
    <row r="15" spans="1:13" x14ac:dyDescent="0.35">
      <c r="A15" s="17"/>
      <c r="B15" s="2"/>
      <c r="C15" s="2" t="s">
        <v>4</v>
      </c>
      <c r="D15" s="2"/>
      <c r="E15" s="2"/>
      <c r="F15" s="2"/>
      <c r="G15" s="2"/>
      <c r="H15" s="2"/>
      <c r="I15" s="2"/>
      <c r="J15" s="1"/>
      <c r="K15" s="1">
        <f>J9</f>
        <v>164195344</v>
      </c>
      <c r="L15" s="1"/>
      <c r="M15" s="17"/>
    </row>
    <row r="16" spans="1:13" x14ac:dyDescent="0.35">
      <c r="A16" s="17"/>
      <c r="B16" s="2" t="s">
        <v>5</v>
      </c>
      <c r="C16" s="2" t="s">
        <v>6</v>
      </c>
      <c r="D16" s="2"/>
      <c r="E16" s="2"/>
      <c r="F16" s="2"/>
      <c r="G16" s="2"/>
      <c r="H16" s="2"/>
      <c r="I16" s="2"/>
      <c r="J16" s="1">
        <v>-25958442</v>
      </c>
      <c r="K16" s="1"/>
      <c r="L16" s="1"/>
      <c r="M16" s="17"/>
    </row>
    <row r="17" spans="1:13" x14ac:dyDescent="0.35">
      <c r="A17" s="17"/>
      <c r="B17" s="2" t="s">
        <v>5</v>
      </c>
      <c r="C17" s="2" t="s">
        <v>7</v>
      </c>
      <c r="D17" s="2"/>
      <c r="E17" s="2"/>
      <c r="F17" s="2"/>
      <c r="G17" s="2"/>
      <c r="H17" s="2"/>
      <c r="I17" s="2"/>
      <c r="J17" s="20">
        <f>-J11</f>
        <v>0</v>
      </c>
      <c r="K17" s="22"/>
      <c r="L17" s="1"/>
      <c r="M17" s="17"/>
    </row>
    <row r="18" spans="1:13" x14ac:dyDescent="0.35">
      <c r="A18" s="17"/>
      <c r="B18" s="2" t="s">
        <v>5</v>
      </c>
      <c r="C18" s="2" t="s">
        <v>20</v>
      </c>
      <c r="D18" s="2"/>
      <c r="E18" s="2"/>
      <c r="F18" s="2"/>
      <c r="G18" s="2"/>
      <c r="H18" s="1"/>
      <c r="I18" s="2"/>
      <c r="J18" s="20">
        <f>-J12</f>
        <v>0</v>
      </c>
      <c r="K18" s="22"/>
      <c r="L18" s="1"/>
      <c r="M18" s="17"/>
    </row>
    <row r="19" spans="1:13" ht="15" thickBot="1" x14ac:dyDescent="0.4">
      <c r="A19" s="17"/>
      <c r="B19" s="2" t="s">
        <v>5</v>
      </c>
      <c r="C19" s="3" t="s">
        <v>29</v>
      </c>
      <c r="D19" s="3"/>
      <c r="E19" s="3"/>
      <c r="F19" s="3"/>
      <c r="G19" s="3"/>
      <c r="H19" s="3"/>
      <c r="I19" s="3"/>
      <c r="J19" s="21">
        <v>0</v>
      </c>
      <c r="K19" s="22"/>
      <c r="L19" s="1"/>
      <c r="M19" s="17"/>
    </row>
    <row r="20" spans="1:13" x14ac:dyDescent="0.35">
      <c r="A20" s="17"/>
      <c r="B20" s="2"/>
      <c r="C20" s="2" t="s">
        <v>8</v>
      </c>
      <c r="D20" s="2"/>
      <c r="E20" s="2"/>
      <c r="F20" s="2"/>
      <c r="G20" s="2"/>
      <c r="H20" s="2"/>
      <c r="I20" s="2"/>
      <c r="J20" s="1">
        <f>SUM(J16:J19)</f>
        <v>-25958442</v>
      </c>
      <c r="K20" s="1"/>
      <c r="L20" s="1"/>
      <c r="M20" s="17"/>
    </row>
    <row r="21" spans="1:13" x14ac:dyDescent="0.35">
      <c r="A21" s="17"/>
      <c r="M21" s="17"/>
    </row>
    <row r="22" spans="1:13" x14ac:dyDescent="0.35">
      <c r="A22" s="17"/>
      <c r="B22" s="2"/>
      <c r="C22" s="2" t="s">
        <v>9</v>
      </c>
      <c r="D22" s="2"/>
      <c r="E22" s="2"/>
      <c r="F22" s="2"/>
      <c r="G22" s="2"/>
      <c r="H22" s="2"/>
      <c r="I22" s="2"/>
      <c r="J22" s="1">
        <v>227578913</v>
      </c>
      <c r="M22" s="17"/>
    </row>
    <row r="23" spans="1:13" ht="15" thickBot="1" x14ac:dyDescent="0.4">
      <c r="A23" s="17"/>
      <c r="B23" s="2" t="s">
        <v>5</v>
      </c>
      <c r="C23" s="3" t="s">
        <v>10</v>
      </c>
      <c r="D23" s="3"/>
      <c r="E23" s="3"/>
      <c r="F23" s="3"/>
      <c r="G23" s="3"/>
      <c r="H23" s="3"/>
      <c r="I23" s="3"/>
      <c r="J23" s="4">
        <f>J20</f>
        <v>-25958442</v>
      </c>
      <c r="M23" s="17"/>
    </row>
    <row r="24" spans="1:13" x14ac:dyDescent="0.35">
      <c r="A24" s="17"/>
      <c r="B24" s="2"/>
      <c r="C24" s="2" t="s">
        <v>28</v>
      </c>
      <c r="D24" s="2"/>
      <c r="E24" s="2"/>
      <c r="F24" s="2"/>
      <c r="G24" s="2"/>
      <c r="H24" s="2"/>
      <c r="I24" s="2"/>
      <c r="J24" s="1">
        <f>SUM(J22+J23)</f>
        <v>201620471</v>
      </c>
      <c r="M24" s="17"/>
    </row>
    <row r="25" spans="1:13" x14ac:dyDescent="0.35">
      <c r="A25" s="17"/>
      <c r="B25" s="2"/>
      <c r="C25" s="2"/>
      <c r="D25" s="2"/>
      <c r="E25" s="2"/>
      <c r="F25" s="2"/>
      <c r="G25" s="2"/>
      <c r="H25" s="2"/>
      <c r="I25" s="2"/>
      <c r="J25" s="1"/>
      <c r="M25" s="17"/>
    </row>
    <row r="26" spans="1:13" ht="15" thickBot="1" x14ac:dyDescent="0.4">
      <c r="A26" s="17"/>
      <c r="B26" s="2"/>
      <c r="C26" s="3" t="s">
        <v>25</v>
      </c>
      <c r="D26" s="3"/>
      <c r="E26" s="3"/>
      <c r="F26" s="3"/>
      <c r="G26" s="3"/>
      <c r="H26" s="3"/>
      <c r="I26" s="3"/>
      <c r="J26" s="4">
        <v>39109458</v>
      </c>
      <c r="K26" s="7" t="s">
        <v>26</v>
      </c>
      <c r="L26" s="7"/>
      <c r="M26" s="17"/>
    </row>
    <row r="27" spans="1:13" x14ac:dyDescent="0.35">
      <c r="A27" s="17"/>
      <c r="B27" s="2"/>
      <c r="C27" s="2" t="s">
        <v>27</v>
      </c>
      <c r="D27" s="2"/>
      <c r="E27" s="2"/>
      <c r="F27" s="2"/>
      <c r="G27" s="2"/>
      <c r="H27" s="2"/>
      <c r="I27" s="2"/>
      <c r="J27" s="1">
        <f>SUM(J24:J26)</f>
        <v>240729929</v>
      </c>
      <c r="M27" s="17"/>
    </row>
    <row r="28" spans="1:13" x14ac:dyDescent="0.35">
      <c r="A28" s="17"/>
      <c r="B28" s="2"/>
      <c r="C28" s="2"/>
      <c r="D28" s="2"/>
      <c r="E28" s="2"/>
      <c r="F28" s="2"/>
      <c r="G28" s="2"/>
      <c r="H28" s="2"/>
      <c r="I28" s="2"/>
      <c r="J28" s="1"/>
      <c r="M28" s="17"/>
    </row>
    <row r="29" spans="1:13" x14ac:dyDescent="0.35">
      <c r="A29" s="17"/>
      <c r="B29" s="2"/>
      <c r="C29" s="2"/>
      <c r="D29" s="2"/>
      <c r="E29" s="2"/>
      <c r="F29" s="2" t="s">
        <v>31</v>
      </c>
      <c r="G29" s="2"/>
      <c r="H29" s="2"/>
      <c r="I29" s="2"/>
      <c r="J29" s="12">
        <v>227578914</v>
      </c>
      <c r="M29" s="17"/>
    </row>
    <row r="30" spans="1:13" x14ac:dyDescent="0.35">
      <c r="A30" s="17"/>
      <c r="B30" s="2"/>
      <c r="C30" s="2"/>
      <c r="D30" s="2"/>
      <c r="E30" s="10" t="s">
        <v>32</v>
      </c>
      <c r="F30" s="2" t="s">
        <v>35</v>
      </c>
      <c r="G30" s="2"/>
      <c r="H30" s="2"/>
      <c r="I30" s="2"/>
      <c r="J30" s="12">
        <f>J27-J29</f>
        <v>13151015</v>
      </c>
      <c r="K30" s="9" t="s">
        <v>32</v>
      </c>
      <c r="L30" s="9"/>
      <c r="M30" s="17"/>
    </row>
    <row r="31" spans="1:13" ht="15" thickBot="1" x14ac:dyDescent="0.4">
      <c r="A31" s="17"/>
      <c r="B31" s="2"/>
      <c r="C31" s="2"/>
      <c r="D31" s="2"/>
      <c r="E31" s="10" t="s">
        <v>32</v>
      </c>
      <c r="F31" s="14" t="s">
        <v>36</v>
      </c>
      <c r="G31" s="14"/>
      <c r="H31" s="14"/>
      <c r="I31" s="14"/>
      <c r="J31" s="15">
        <f>-G35</f>
        <v>-4885949</v>
      </c>
      <c r="M31" s="17"/>
    </row>
    <row r="32" spans="1:13" ht="15" thickTop="1" x14ac:dyDescent="0.35">
      <c r="A32" s="17"/>
      <c r="B32" s="2"/>
      <c r="C32" s="2"/>
      <c r="D32" s="2"/>
      <c r="E32" s="10"/>
      <c r="F32" s="2" t="s">
        <v>37</v>
      </c>
      <c r="G32" s="2"/>
      <c r="H32" s="2" t="s">
        <v>38</v>
      </c>
      <c r="I32" s="2"/>
      <c r="J32" s="16">
        <f>SUM(J30:J31)</f>
        <v>8265066</v>
      </c>
      <c r="M32" s="17"/>
    </row>
    <row r="33" spans="1:15" ht="15" thickBot="1" x14ac:dyDescent="0.4">
      <c r="A33" s="17"/>
      <c r="B33" s="3" t="s">
        <v>15</v>
      </c>
      <c r="M33" s="17"/>
    </row>
    <row r="34" spans="1:15" x14ac:dyDescent="0.35">
      <c r="A34" s="17"/>
      <c r="B34" s="8" t="s">
        <v>32</v>
      </c>
      <c r="C34" t="s">
        <v>33</v>
      </c>
      <c r="F34" s="13">
        <f>J30-G35</f>
        <v>8265066</v>
      </c>
      <c r="G34" t="s">
        <v>40</v>
      </c>
      <c r="M34" s="17"/>
    </row>
    <row r="35" spans="1:15" x14ac:dyDescent="0.35">
      <c r="A35" s="17"/>
      <c r="B35" s="8"/>
      <c r="C35" t="s">
        <v>34</v>
      </c>
      <c r="F35" s="11"/>
      <c r="G35" s="13">
        <v>4885949</v>
      </c>
      <c r="M35" s="17"/>
      <c r="O35" s="11"/>
    </row>
    <row r="36" spans="1:15" ht="9.75" customHeight="1" x14ac:dyDescent="0.35">
      <c r="B36" s="8"/>
      <c r="F36" s="11"/>
      <c r="O36" s="11"/>
    </row>
    <row r="37" spans="1:15" x14ac:dyDescent="0.35">
      <c r="B37" s="2" t="s">
        <v>30</v>
      </c>
    </row>
    <row r="38" spans="1:15" x14ac:dyDescent="0.35">
      <c r="B38" s="2" t="s">
        <v>22</v>
      </c>
    </row>
    <row r="39" spans="1:15" x14ac:dyDescent="0.35">
      <c r="B39" s="2" t="s">
        <v>23</v>
      </c>
    </row>
    <row r="40" spans="1:15" x14ac:dyDescent="0.35">
      <c r="B40" s="2" t="s">
        <v>18</v>
      </c>
    </row>
    <row r="41" spans="1:15" ht="9.5" customHeight="1" x14ac:dyDescent="0.35"/>
    <row r="42" spans="1:15" ht="18.5" x14ac:dyDescent="0.45">
      <c r="B42" s="180" t="s">
        <v>24</v>
      </c>
      <c r="C42" s="180"/>
      <c r="D42" s="180"/>
      <c r="E42" s="180"/>
      <c r="F42" s="180"/>
      <c r="G42" s="180"/>
      <c r="H42" s="180"/>
      <c r="I42" s="180"/>
      <c r="J42" s="180"/>
      <c r="K42" s="180"/>
      <c r="L42" s="5"/>
    </row>
  </sheetData>
  <mergeCells count="4">
    <mergeCell ref="B1:K1"/>
    <mergeCell ref="B42:K42"/>
    <mergeCell ref="B2:K2"/>
    <mergeCell ref="B3:K3"/>
  </mergeCells>
  <pageMargins left="0.7" right="0.7" top="0.4" bottom="0.4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O42"/>
  <sheetViews>
    <sheetView showGridLines="0" workbookViewId="0">
      <selection activeCell="I18" sqref="I18"/>
    </sheetView>
  </sheetViews>
  <sheetFormatPr defaultRowHeight="14.5" x14ac:dyDescent="0.35"/>
  <cols>
    <col min="1" max="1" width="7.453125" customWidth="1"/>
    <col min="7" max="7" width="15.1796875" customWidth="1"/>
    <col min="8" max="8" width="7.1796875" customWidth="1"/>
    <col min="9" max="9" width="15.81640625" customWidth="1"/>
    <col min="10" max="10" width="13.1796875" customWidth="1"/>
    <col min="11" max="11" width="2.1796875" customWidth="1"/>
    <col min="12" max="12" width="18.1796875" customWidth="1"/>
    <col min="13" max="13" width="13.1796875" customWidth="1"/>
    <col min="14" max="14" width="10.54296875" customWidth="1"/>
    <col min="15" max="15" width="12.81640625" customWidth="1"/>
  </cols>
  <sheetData>
    <row r="1" spans="1:14" x14ac:dyDescent="0.35">
      <c r="B1" s="181" t="s">
        <v>0</v>
      </c>
      <c r="C1" s="181"/>
      <c r="D1" s="181"/>
      <c r="E1" s="181"/>
      <c r="F1" s="181"/>
      <c r="G1" s="181"/>
      <c r="H1" s="181"/>
      <c r="I1" s="181"/>
      <c r="K1" s="27" t="s">
        <v>46</v>
      </c>
      <c r="L1" s="28"/>
      <c r="M1" s="28"/>
      <c r="N1" s="28"/>
    </row>
    <row r="2" spans="1:14" x14ac:dyDescent="0.35">
      <c r="B2" s="181" t="s">
        <v>19</v>
      </c>
      <c r="C2" s="181"/>
      <c r="D2" s="181"/>
      <c r="E2" s="181"/>
      <c r="F2" s="181"/>
      <c r="G2" s="181"/>
      <c r="H2" s="181"/>
      <c r="I2" s="181"/>
    </row>
    <row r="4" spans="1:14" x14ac:dyDescent="0.35">
      <c r="A4" s="2"/>
      <c r="B4" s="2" t="s">
        <v>12</v>
      </c>
      <c r="C4" s="2"/>
      <c r="D4" s="2"/>
      <c r="E4" s="2"/>
      <c r="F4" s="2"/>
      <c r="G4" s="2"/>
      <c r="H4" s="2"/>
      <c r="I4" s="1">
        <v>164895344</v>
      </c>
      <c r="J4" s="2"/>
      <c r="K4" s="38" t="s">
        <v>45</v>
      </c>
    </row>
    <row r="5" spans="1:14" x14ac:dyDescent="0.35">
      <c r="A5" s="2"/>
      <c r="B5" s="2"/>
      <c r="C5" s="2"/>
      <c r="D5" s="2"/>
      <c r="E5" s="2"/>
      <c r="F5" s="2"/>
      <c r="G5" s="2"/>
      <c r="H5" s="2"/>
      <c r="I5" s="1"/>
      <c r="J5" s="2"/>
    </row>
    <row r="6" spans="1:14" x14ac:dyDescent="0.35">
      <c r="A6" s="2"/>
      <c r="B6" s="2" t="s">
        <v>1</v>
      </c>
      <c r="C6" s="2"/>
      <c r="D6" s="2"/>
      <c r="E6" s="2"/>
      <c r="F6" s="2"/>
      <c r="G6" s="2"/>
      <c r="H6" s="2"/>
      <c r="I6" s="1">
        <v>164189303</v>
      </c>
      <c r="J6" s="2"/>
    </row>
    <row r="7" spans="1:14" ht="15" thickBot="1" x14ac:dyDescent="0.4">
      <c r="A7" s="2"/>
      <c r="B7" s="3" t="s">
        <v>2</v>
      </c>
      <c r="C7" s="3"/>
      <c r="D7" s="3"/>
      <c r="E7" s="3"/>
      <c r="F7" s="3"/>
      <c r="G7" s="3"/>
      <c r="H7" s="3"/>
      <c r="I7" s="4">
        <v>200634</v>
      </c>
      <c r="J7" s="2"/>
    </row>
    <row r="8" spans="1:14" x14ac:dyDescent="0.35">
      <c r="A8" s="2"/>
      <c r="B8" s="2" t="s">
        <v>3</v>
      </c>
      <c r="C8" s="2"/>
      <c r="D8" s="2"/>
      <c r="E8" s="2"/>
      <c r="F8" s="2"/>
      <c r="G8" s="2"/>
      <c r="H8" s="2"/>
      <c r="I8" s="1">
        <f>SUM(I6:I7)</f>
        <v>164389937</v>
      </c>
      <c r="J8" s="2"/>
    </row>
    <row r="9" spans="1:14" x14ac:dyDescent="0.35">
      <c r="A9" s="2"/>
      <c r="B9" s="2"/>
      <c r="C9" s="2"/>
      <c r="D9" s="2"/>
      <c r="E9" s="2"/>
      <c r="F9" s="2"/>
      <c r="G9" s="2"/>
      <c r="H9" s="2"/>
      <c r="I9" s="1"/>
      <c r="J9" s="2"/>
    </row>
    <row r="10" spans="1:14" x14ac:dyDescent="0.35">
      <c r="A10" s="2"/>
      <c r="B10" s="2" t="s">
        <v>14</v>
      </c>
      <c r="C10" s="2"/>
      <c r="D10" s="2"/>
      <c r="E10" s="2"/>
      <c r="F10" s="2"/>
      <c r="G10" s="2"/>
      <c r="H10" s="2"/>
      <c r="I10" s="1">
        <f>I4-I8</f>
        <v>505407</v>
      </c>
      <c r="J10" s="2"/>
    </row>
    <row r="11" spans="1:14" x14ac:dyDescent="0.35">
      <c r="A11" s="2"/>
      <c r="B11" s="2"/>
      <c r="C11" s="2"/>
      <c r="D11" s="2"/>
      <c r="E11" s="2"/>
      <c r="F11" s="2"/>
      <c r="G11" s="2"/>
      <c r="H11" s="2"/>
      <c r="I11" s="1"/>
      <c r="J11" s="2"/>
    </row>
    <row r="12" spans="1:14" x14ac:dyDescent="0.35">
      <c r="A12" s="2"/>
      <c r="B12" s="2"/>
      <c r="C12" s="2"/>
      <c r="D12" s="2"/>
      <c r="E12" s="2"/>
      <c r="F12" s="2"/>
      <c r="G12" s="2"/>
      <c r="H12" s="2"/>
      <c r="I12" s="1"/>
      <c r="J12" s="2"/>
    </row>
    <row r="13" spans="1:14" x14ac:dyDescent="0.35">
      <c r="A13" s="2"/>
      <c r="B13" s="2"/>
      <c r="C13" s="2"/>
      <c r="D13" s="2"/>
      <c r="E13" s="2"/>
      <c r="F13" s="2"/>
      <c r="G13" s="2"/>
      <c r="H13" s="2"/>
      <c r="I13" s="1"/>
      <c r="J13" s="2"/>
    </row>
    <row r="14" spans="1:14" ht="15" thickBot="1" x14ac:dyDescent="0.4">
      <c r="A14" s="2"/>
      <c r="B14" s="3" t="s">
        <v>13</v>
      </c>
      <c r="C14" s="3"/>
      <c r="D14" s="3"/>
      <c r="E14" s="3"/>
      <c r="F14" s="3"/>
      <c r="G14" s="3"/>
      <c r="H14" s="2"/>
      <c r="I14" s="2"/>
      <c r="J14" s="2"/>
    </row>
    <row r="15" spans="1:14" ht="9.75" customHeight="1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4" x14ac:dyDescent="0.35">
      <c r="A16" s="2"/>
      <c r="B16" s="2" t="s">
        <v>4</v>
      </c>
      <c r="C16" s="2"/>
      <c r="D16" s="2"/>
      <c r="E16" s="2"/>
      <c r="F16" s="2"/>
      <c r="G16" s="2"/>
      <c r="H16" s="2"/>
      <c r="I16" s="1"/>
      <c r="J16" s="1">
        <v>164395937</v>
      </c>
    </row>
    <row r="17" spans="1:14" x14ac:dyDescent="0.35">
      <c r="A17" s="2" t="s">
        <v>5</v>
      </c>
      <c r="B17" s="2" t="s">
        <v>6</v>
      </c>
      <c r="C17" s="2"/>
      <c r="D17" s="2"/>
      <c r="E17" s="2"/>
      <c r="F17" s="2"/>
      <c r="G17" s="2"/>
      <c r="H17" s="2"/>
      <c r="I17" s="34">
        <v>-25958442</v>
      </c>
      <c r="J17" s="1"/>
      <c r="K17" s="39" t="s">
        <v>51</v>
      </c>
      <c r="L17" s="40"/>
    </row>
    <row r="18" spans="1:14" x14ac:dyDescent="0.35">
      <c r="A18" s="2" t="s">
        <v>5</v>
      </c>
      <c r="B18" s="2" t="s">
        <v>7</v>
      </c>
      <c r="C18" s="2"/>
      <c r="D18" s="2"/>
      <c r="E18" s="2"/>
      <c r="F18" s="2"/>
      <c r="G18" s="2"/>
      <c r="H18" s="2"/>
      <c r="I18" s="32">
        <f>-I10</f>
        <v>-505407</v>
      </c>
      <c r="J18" s="1"/>
    </row>
    <row r="19" spans="1:14" x14ac:dyDescent="0.35">
      <c r="A19" s="2" t="s">
        <v>5</v>
      </c>
      <c r="B19" s="2" t="s">
        <v>20</v>
      </c>
      <c r="C19" s="2"/>
      <c r="D19" s="2"/>
      <c r="E19" s="2"/>
      <c r="F19" s="2"/>
      <c r="G19" s="2"/>
      <c r="H19" s="2"/>
      <c r="I19" s="32">
        <v>-867000</v>
      </c>
      <c r="J19" s="1"/>
    </row>
    <row r="20" spans="1:14" ht="15" thickBot="1" x14ac:dyDescent="0.4">
      <c r="A20" s="2" t="s">
        <v>5</v>
      </c>
      <c r="B20" s="3" t="s">
        <v>21</v>
      </c>
      <c r="C20" s="3"/>
      <c r="D20" s="3"/>
      <c r="E20" s="3"/>
      <c r="F20" s="3"/>
      <c r="G20" s="3"/>
      <c r="H20" s="3"/>
      <c r="I20" s="33">
        <v>-1340000</v>
      </c>
      <c r="J20" s="1"/>
    </row>
    <row r="21" spans="1:14" x14ac:dyDescent="0.35">
      <c r="A21" s="2"/>
      <c r="B21" s="2" t="s">
        <v>8</v>
      </c>
      <c r="C21" s="2"/>
      <c r="D21" s="2"/>
      <c r="E21" s="2"/>
      <c r="F21" s="2"/>
      <c r="G21" s="2"/>
      <c r="H21" s="2"/>
      <c r="I21" s="37">
        <f>SUM(I17:I20)</f>
        <v>-28670849</v>
      </c>
      <c r="J21" s="1"/>
    </row>
    <row r="23" spans="1:14" x14ac:dyDescent="0.35">
      <c r="A23" s="2"/>
      <c r="B23" s="2" t="s">
        <v>9</v>
      </c>
      <c r="C23" s="2"/>
      <c r="D23" s="2"/>
      <c r="E23" s="2"/>
      <c r="F23" s="2"/>
      <c r="G23" s="2"/>
      <c r="H23" s="2"/>
      <c r="I23" s="1">
        <v>227578913</v>
      </c>
    </row>
    <row r="24" spans="1:14" ht="15" thickBot="1" x14ac:dyDescent="0.4">
      <c r="A24" s="2" t="s">
        <v>5</v>
      </c>
      <c r="B24" s="3" t="s">
        <v>10</v>
      </c>
      <c r="C24" s="3"/>
      <c r="D24" s="3"/>
      <c r="E24" s="3"/>
      <c r="F24" s="3"/>
      <c r="G24" s="3"/>
      <c r="H24" s="3"/>
      <c r="I24" s="31">
        <f>I21</f>
        <v>-28670849</v>
      </c>
    </row>
    <row r="25" spans="1:14" x14ac:dyDescent="0.35">
      <c r="A25" s="2"/>
      <c r="B25" s="2" t="s">
        <v>11</v>
      </c>
      <c r="C25" s="2"/>
      <c r="D25" s="2"/>
      <c r="E25" s="2"/>
      <c r="F25" s="2"/>
      <c r="G25" s="2"/>
      <c r="H25" s="2"/>
      <c r="I25" s="1">
        <f>SUM(I23+I24)</f>
        <v>198908064</v>
      </c>
      <c r="J25" s="29"/>
      <c r="K25" s="39" t="s">
        <v>52</v>
      </c>
    </row>
    <row r="27" spans="1:14" ht="15" thickBot="1" x14ac:dyDescent="0.4">
      <c r="B27" s="3" t="s">
        <v>42</v>
      </c>
      <c r="C27" s="23"/>
      <c r="D27" s="23"/>
      <c r="E27" s="23"/>
      <c r="F27" s="23"/>
      <c r="G27" s="23"/>
      <c r="H27" s="23"/>
      <c r="I27" s="4">
        <v>3100000</v>
      </c>
    </row>
    <row r="28" spans="1:14" x14ac:dyDescent="0.35">
      <c r="B28" s="2" t="s">
        <v>11</v>
      </c>
      <c r="C28" s="2"/>
      <c r="D28" s="2"/>
      <c r="E28" s="2"/>
      <c r="F28" s="2"/>
      <c r="G28" s="2"/>
      <c r="H28" s="2"/>
      <c r="I28" s="1">
        <f>SUM(I25:I27)</f>
        <v>202008064</v>
      </c>
      <c r="J28" s="29"/>
      <c r="K28" s="39" t="s">
        <v>53</v>
      </c>
    </row>
    <row r="30" spans="1:14" x14ac:dyDescent="0.35">
      <c r="A30" s="27" t="s">
        <v>44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4" x14ac:dyDescent="0.35">
      <c r="J31" s="1">
        <v>227578913</v>
      </c>
      <c r="L31" s="2" t="s">
        <v>49</v>
      </c>
    </row>
    <row r="32" spans="1:14" ht="15" thickBot="1" x14ac:dyDescent="0.4">
      <c r="J32" s="31">
        <v>-25958442</v>
      </c>
      <c r="L32" s="2" t="s">
        <v>47</v>
      </c>
    </row>
    <row r="33" spans="1:15" ht="15" thickBot="1" x14ac:dyDescent="0.4">
      <c r="B33" s="2" t="s">
        <v>43</v>
      </c>
      <c r="C33" s="2"/>
      <c r="D33" s="2"/>
      <c r="E33" s="2"/>
      <c r="F33" s="2"/>
      <c r="G33" s="2"/>
      <c r="H33" s="2"/>
      <c r="I33" s="1">
        <f>BOE_Corrected!J24</f>
        <v>201620471</v>
      </c>
      <c r="K33" s="30"/>
      <c r="L33" s="24"/>
      <c r="M33" s="24"/>
      <c r="N33" s="24"/>
      <c r="O33" s="1"/>
    </row>
    <row r="34" spans="1:15" ht="15" thickBot="1" x14ac:dyDescent="0.4">
      <c r="B34" s="25" t="s">
        <v>50</v>
      </c>
      <c r="C34" s="26"/>
      <c r="D34" s="26"/>
      <c r="E34" s="26"/>
      <c r="F34" s="26"/>
      <c r="G34" s="26"/>
      <c r="H34" s="35" t="s">
        <v>48</v>
      </c>
      <c r="I34" s="36">
        <f>I28-I33</f>
        <v>387593</v>
      </c>
    </row>
    <row r="35" spans="1:15" ht="13" customHeight="1" x14ac:dyDescent="0.35">
      <c r="O35" s="1"/>
    </row>
    <row r="36" spans="1:15" ht="13" customHeight="1" x14ac:dyDescent="0.35"/>
    <row r="37" spans="1:15" ht="15" thickBot="1" x14ac:dyDescent="0.4">
      <c r="A37" s="3" t="s">
        <v>15</v>
      </c>
    </row>
    <row r="38" spans="1:15" x14ac:dyDescent="0.35">
      <c r="A38" s="2" t="s">
        <v>56</v>
      </c>
    </row>
    <row r="39" spans="1:15" x14ac:dyDescent="0.35">
      <c r="A39" s="2" t="s">
        <v>55</v>
      </c>
    </row>
    <row r="40" spans="1:15" x14ac:dyDescent="0.35">
      <c r="A40" s="2" t="s">
        <v>54</v>
      </c>
    </row>
    <row r="41" spans="1:15" x14ac:dyDescent="0.35">
      <c r="A41" s="2" t="s">
        <v>57</v>
      </c>
    </row>
    <row r="42" spans="1:15" x14ac:dyDescent="0.35">
      <c r="A42" s="2"/>
    </row>
  </sheetData>
  <mergeCells count="2">
    <mergeCell ref="B1:I1"/>
    <mergeCell ref="B2:I2"/>
  </mergeCells>
  <pageMargins left="0.4" right="0.4" top="0.5" bottom="0.5" header="0.3" footer="0.3"/>
  <pageSetup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C00"/>
  </sheetPr>
  <dimension ref="A1:N155"/>
  <sheetViews>
    <sheetView showGridLines="0" tabSelected="1" topLeftCell="A110" zoomScaleNormal="100" workbookViewId="0">
      <selection activeCell="E155" sqref="E155"/>
    </sheetView>
  </sheetViews>
  <sheetFormatPr defaultRowHeight="14.5" x14ac:dyDescent="0.35"/>
  <cols>
    <col min="1" max="1" width="15" customWidth="1"/>
    <col min="2" max="2" width="11.6328125" customWidth="1"/>
    <col min="3" max="3" width="1.36328125" customWidth="1"/>
    <col min="4" max="4" width="9.90625" customWidth="1"/>
    <col min="5" max="5" width="11.6328125" customWidth="1"/>
    <col min="6" max="6" width="7.1796875" customWidth="1"/>
    <col min="7" max="7" width="10" customWidth="1"/>
    <col min="8" max="8" width="1.1796875" customWidth="1"/>
    <col min="9" max="9" width="11.54296875" customWidth="1"/>
    <col min="10" max="10" width="7.81640625" customWidth="1"/>
    <col min="11" max="11" width="10.81640625" customWidth="1"/>
    <col min="12" max="12" width="12.453125" customWidth="1"/>
    <col min="13" max="13" width="16.1796875" customWidth="1"/>
    <col min="14" max="14" width="11" customWidth="1"/>
  </cols>
  <sheetData>
    <row r="1" spans="1:14" ht="18.5" x14ac:dyDescent="0.45">
      <c r="A1" s="182" t="s">
        <v>104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</row>
    <row r="5" spans="1:14" ht="15" thickBot="1" x14ac:dyDescent="0.4">
      <c r="A5" s="59" t="s">
        <v>69</v>
      </c>
      <c r="B5" s="59" t="s">
        <v>59</v>
      </c>
      <c r="C5" s="60"/>
      <c r="D5" s="59" t="s">
        <v>69</v>
      </c>
      <c r="E5" s="59" t="s">
        <v>59</v>
      </c>
      <c r="F5" s="61" t="s">
        <v>65</v>
      </c>
    </row>
    <row r="6" spans="1:14" x14ac:dyDescent="0.35">
      <c r="A6" s="62" t="s">
        <v>61</v>
      </c>
      <c r="B6" s="51">
        <f>58518551+2290691+9309</f>
        <v>60818551</v>
      </c>
      <c r="C6" s="60"/>
      <c r="D6" s="62" t="s">
        <v>61</v>
      </c>
      <c r="E6" s="51">
        <f>58518551+2290691+9309</f>
        <v>60818551</v>
      </c>
      <c r="F6" s="55">
        <f>'BOE Budget_Graphic_FY23'!$B6/'BOE Budget_Graphic_FY23'!$B$9</f>
        <v>0.25370799713876302</v>
      </c>
    </row>
    <row r="7" spans="1:14" x14ac:dyDescent="0.35">
      <c r="A7" s="64" t="s">
        <v>66</v>
      </c>
      <c r="B7" s="52">
        <v>164195344</v>
      </c>
      <c r="C7" s="60"/>
      <c r="D7" s="64" t="s">
        <v>79</v>
      </c>
      <c r="E7" s="52">
        <f>SUM(B7:B8)</f>
        <v>178900148</v>
      </c>
      <c r="F7" s="56">
        <f>SUM(B7:B8)/'BOE Budget_Graphic_FY23'!$B$9</f>
        <v>0.74629200286123698</v>
      </c>
    </row>
    <row r="8" spans="1:14" ht="15" thickBot="1" x14ac:dyDescent="0.4">
      <c r="A8" s="66" t="s">
        <v>68</v>
      </c>
      <c r="B8" s="53">
        <v>14704804</v>
      </c>
      <c r="C8" s="60"/>
      <c r="D8" s="57"/>
      <c r="E8" s="57"/>
      <c r="F8" s="57"/>
    </row>
    <row r="9" spans="1:14" ht="15" thickTop="1" x14ac:dyDescent="0.35">
      <c r="A9" s="68" t="s">
        <v>63</v>
      </c>
      <c r="B9" s="54">
        <f>SUBTOTAL(109,'BOE Budget_Graphic_FY23'!$B$6:$B$8)</f>
        <v>239718699</v>
      </c>
      <c r="C9" s="60"/>
      <c r="D9" s="68" t="s">
        <v>63</v>
      </c>
      <c r="E9" s="54">
        <f>SUBTOTAL(109,'BOE Budget_Graphic_FY23'!$B$6:$B$8)</f>
        <v>239718699</v>
      </c>
      <c r="F9" s="58">
        <f>SUBTOTAL(109,'BOE Budget_Graphic_FY23'!$F$6:$F$8)</f>
        <v>1</v>
      </c>
    </row>
    <row r="10" spans="1:14" ht="15" thickBot="1" x14ac:dyDescent="0.4">
      <c r="A10" s="2"/>
      <c r="B10" s="41"/>
      <c r="C10" s="41"/>
      <c r="D10" s="41"/>
      <c r="E10" s="41"/>
      <c r="F10" s="43"/>
    </row>
    <row r="11" spans="1:14" ht="15.5" thickTop="1" thickBot="1" x14ac:dyDescent="0.4">
      <c r="D11" s="85" t="s">
        <v>82</v>
      </c>
      <c r="E11" s="86">
        <f>E9-B8</f>
        <v>225013895</v>
      </c>
    </row>
    <row r="12" spans="1:14" ht="15" thickTop="1" x14ac:dyDescent="0.35"/>
    <row r="21" spans="1:7" ht="15" thickBot="1" x14ac:dyDescent="0.4">
      <c r="A21" s="59" t="s">
        <v>69</v>
      </c>
      <c r="B21" s="59" t="s">
        <v>60</v>
      </c>
      <c r="C21" s="60"/>
      <c r="D21" s="59" t="s">
        <v>69</v>
      </c>
      <c r="E21" s="59" t="s">
        <v>60</v>
      </c>
      <c r="F21" s="59" t="s">
        <v>65</v>
      </c>
      <c r="G21" s="61" t="s">
        <v>67</v>
      </c>
    </row>
    <row r="22" spans="1:7" x14ac:dyDescent="0.35">
      <c r="A22" s="62" t="s">
        <v>73</v>
      </c>
      <c r="B22" s="51">
        <v>63324020</v>
      </c>
      <c r="C22" s="60"/>
      <c r="D22" s="62" t="s">
        <v>61</v>
      </c>
      <c r="E22" s="51">
        <v>63324020</v>
      </c>
      <c r="F22" s="63">
        <f>'BOE Budget_Graphic_FY23'!$B22/'BOE Budget_Graphic_FY23'!$B$25</f>
        <v>0.2578436750857353</v>
      </c>
      <c r="G22" s="51">
        <f>E22-E6</f>
        <v>2505469</v>
      </c>
    </row>
    <row r="23" spans="1:7" x14ac:dyDescent="0.35">
      <c r="A23" s="64" t="s">
        <v>66</v>
      </c>
      <c r="B23" s="52">
        <v>164195344</v>
      </c>
      <c r="C23" s="60"/>
      <c r="D23" s="64" t="s">
        <v>79</v>
      </c>
      <c r="E23" s="52">
        <f>SUM(B23:B24)</f>
        <v>182266724</v>
      </c>
      <c r="F23" s="65">
        <f>SUM(B23:B24)/'BOE Budget_Graphic_FY23'!$B$25</f>
        <v>0.74215632491426464</v>
      </c>
      <c r="G23" s="52">
        <f>E23-E7</f>
        <v>3366576</v>
      </c>
    </row>
    <row r="24" spans="1:7" ht="15" thickBot="1" x14ac:dyDescent="0.4">
      <c r="A24" s="66" t="s">
        <v>68</v>
      </c>
      <c r="B24" s="53">
        <v>18071380</v>
      </c>
      <c r="C24" s="60"/>
      <c r="D24" s="57"/>
      <c r="E24" s="67"/>
      <c r="F24" s="67"/>
      <c r="G24" s="67"/>
    </row>
    <row r="25" spans="1:7" ht="15" thickTop="1" x14ac:dyDescent="0.35">
      <c r="A25" s="68" t="s">
        <v>63</v>
      </c>
      <c r="B25" s="54">
        <f>SUBTOTAL(109,'BOE Budget_Graphic_FY23'!$B$22:$B$24)</f>
        <v>245590744</v>
      </c>
      <c r="C25" s="60"/>
      <c r="D25" s="68" t="s">
        <v>63</v>
      </c>
      <c r="E25" s="69">
        <f>SUM(E22:E23)</f>
        <v>245590744</v>
      </c>
      <c r="F25" s="70">
        <f>SUBTOTAL(109,'BOE Budget_Graphic_FY23'!$F$22:$F$24)</f>
        <v>1</v>
      </c>
      <c r="G25" s="54">
        <f>SUBTOTAL(109,'BOE Budget_Graphic_FY23'!$G$22:$G$24)</f>
        <v>5872045</v>
      </c>
    </row>
    <row r="26" spans="1:7" ht="15" thickBot="1" x14ac:dyDescent="0.4">
      <c r="A26" s="71" t="s">
        <v>70</v>
      </c>
      <c r="B26" s="60"/>
      <c r="C26" s="60"/>
      <c r="D26" s="60"/>
      <c r="E26" s="60"/>
      <c r="F26" s="60"/>
      <c r="G26" s="126">
        <f>G25/B9</f>
        <v>2.4495565112340276E-2</v>
      </c>
    </row>
    <row r="27" spans="1:7" ht="15.5" thickTop="1" thickBot="1" x14ac:dyDescent="0.4">
      <c r="D27" s="85" t="s">
        <v>82</v>
      </c>
      <c r="E27" s="86">
        <f>E25-B24</f>
        <v>227519364</v>
      </c>
    </row>
    <row r="28" spans="1:7" ht="15" thickTop="1" x14ac:dyDescent="0.35"/>
    <row r="29" spans="1:7" x14ac:dyDescent="0.35">
      <c r="A29" s="48" t="s">
        <v>75</v>
      </c>
      <c r="B29" s="49"/>
      <c r="C29" s="49"/>
      <c r="D29" s="49"/>
      <c r="E29" s="49"/>
    </row>
    <row r="30" spans="1:7" x14ac:dyDescent="0.35">
      <c r="A30" s="47" t="s">
        <v>76</v>
      </c>
    </row>
    <row r="31" spans="1:7" x14ac:dyDescent="0.35">
      <c r="A31" s="47" t="s">
        <v>74</v>
      </c>
    </row>
    <row r="38" spans="1:7" ht="15" thickBot="1" x14ac:dyDescent="0.4">
      <c r="A38" s="59" t="s">
        <v>69</v>
      </c>
      <c r="B38" s="59" t="s">
        <v>62</v>
      </c>
      <c r="C38" s="60"/>
      <c r="D38" s="59" t="s">
        <v>69</v>
      </c>
      <c r="E38" s="59" t="s">
        <v>62</v>
      </c>
      <c r="F38" s="59" t="s">
        <v>65</v>
      </c>
      <c r="G38" s="61" t="s">
        <v>67</v>
      </c>
    </row>
    <row r="39" spans="1:7" x14ac:dyDescent="0.35">
      <c r="A39" s="62" t="s">
        <v>61</v>
      </c>
      <c r="B39" s="72">
        <v>63383570</v>
      </c>
      <c r="C39" s="60"/>
      <c r="D39" s="62" t="s">
        <v>61</v>
      </c>
      <c r="E39" s="72">
        <v>63383570</v>
      </c>
      <c r="F39" s="63">
        <f>B39/$B$42</f>
        <v>0.25924921108912241</v>
      </c>
      <c r="G39" s="73">
        <f>E39-E22</f>
        <v>59550</v>
      </c>
    </row>
    <row r="40" spans="1:7" x14ac:dyDescent="0.35">
      <c r="A40" s="64" t="s">
        <v>66</v>
      </c>
      <c r="B40" s="72">
        <v>164195344</v>
      </c>
      <c r="C40" s="60"/>
      <c r="D40" s="64" t="s">
        <v>79</v>
      </c>
      <c r="E40" s="74">
        <f>SUM(B40:B41)</f>
        <v>181105390</v>
      </c>
      <c r="F40" s="65">
        <f>SUM(B40:B41)/$B$42</f>
        <v>0.74075078891087764</v>
      </c>
      <c r="G40" s="75">
        <f>E40-E23</f>
        <v>-1161334</v>
      </c>
    </row>
    <row r="41" spans="1:7" ht="15" thickBot="1" x14ac:dyDescent="0.4">
      <c r="A41" s="66" t="s">
        <v>68</v>
      </c>
      <c r="B41" s="53">
        <v>16910046</v>
      </c>
      <c r="C41" s="60"/>
      <c r="D41" s="57"/>
      <c r="E41" s="67"/>
      <c r="F41" s="67"/>
      <c r="G41" s="67"/>
    </row>
    <row r="42" spans="1:7" ht="15" thickTop="1" x14ac:dyDescent="0.35">
      <c r="A42" s="68" t="s">
        <v>63</v>
      </c>
      <c r="B42" s="69">
        <f>SUM(B39:B41)</f>
        <v>244488960</v>
      </c>
      <c r="C42" s="60"/>
      <c r="D42" s="68" t="s">
        <v>63</v>
      </c>
      <c r="E42" s="69">
        <f>SUM(E39:E40)</f>
        <v>244488960</v>
      </c>
      <c r="F42" s="70">
        <f>SUM(F39:F40)</f>
        <v>1</v>
      </c>
      <c r="G42" s="76">
        <f>SUM(G39:G41)</f>
        <v>-1101784</v>
      </c>
    </row>
    <row r="43" spans="1:7" ht="15" thickBot="1" x14ac:dyDescent="0.4">
      <c r="A43" s="71" t="s">
        <v>70</v>
      </c>
      <c r="B43" s="60"/>
      <c r="C43" s="60"/>
      <c r="D43" s="60"/>
      <c r="E43" s="60"/>
      <c r="F43" s="60"/>
      <c r="G43" s="127">
        <f>G42/B25</f>
        <v>-4.4862602802327109E-3</v>
      </c>
    </row>
    <row r="44" spans="1:7" ht="15.5" thickTop="1" thickBot="1" x14ac:dyDescent="0.4">
      <c r="D44" s="85" t="s">
        <v>82</v>
      </c>
      <c r="E44" s="86">
        <f>E42-B41</f>
        <v>227578914</v>
      </c>
    </row>
    <row r="45" spans="1:7" ht="15" thickTop="1" x14ac:dyDescent="0.35"/>
    <row r="46" spans="1:7" x14ac:dyDescent="0.35">
      <c r="A46" s="45" t="s">
        <v>71</v>
      </c>
    </row>
    <row r="47" spans="1:7" x14ac:dyDescent="0.35">
      <c r="A47" s="46" t="s">
        <v>72</v>
      </c>
    </row>
    <row r="56" spans="1:8" ht="15" thickBot="1" x14ac:dyDescent="0.4">
      <c r="A56" s="59" t="s">
        <v>69</v>
      </c>
      <c r="B56" s="59" t="s">
        <v>64</v>
      </c>
      <c r="C56" s="60"/>
      <c r="D56" s="59" t="s">
        <v>69</v>
      </c>
      <c r="E56" s="59" t="s">
        <v>64</v>
      </c>
      <c r="F56" s="59" t="s">
        <v>65</v>
      </c>
      <c r="G56" s="61" t="s">
        <v>67</v>
      </c>
    </row>
    <row r="57" spans="1:8" x14ac:dyDescent="0.35">
      <c r="A57" s="62" t="s">
        <v>61</v>
      </c>
      <c r="B57" s="72">
        <v>63771163</v>
      </c>
      <c r="C57" s="60"/>
      <c r="D57" s="62" t="s">
        <v>61</v>
      </c>
      <c r="E57" s="72">
        <v>63771163</v>
      </c>
      <c r="F57" s="63">
        <f>B57/$B$60</f>
        <v>0.26068782075345681</v>
      </c>
      <c r="G57" s="73">
        <f>E57-E39</f>
        <v>387593</v>
      </c>
    </row>
    <row r="58" spans="1:8" x14ac:dyDescent="0.35">
      <c r="A58" s="77" t="s">
        <v>66</v>
      </c>
      <c r="B58" s="78">
        <f>164195344-250000</f>
        <v>163945344</v>
      </c>
      <c r="C58" s="60"/>
      <c r="D58" s="64" t="s">
        <v>79</v>
      </c>
      <c r="E58" s="74">
        <f>SUM(B58:B59)</f>
        <v>180855390</v>
      </c>
      <c r="F58" s="65">
        <f>SUM(B58:B59)/$B$60</f>
        <v>0.73931217924654324</v>
      </c>
      <c r="G58" s="79">
        <f>E58-E40</f>
        <v>-250000</v>
      </c>
    </row>
    <row r="59" spans="1:8" ht="15" thickBot="1" x14ac:dyDescent="0.4">
      <c r="A59" s="80" t="s">
        <v>68</v>
      </c>
      <c r="B59" s="81">
        <v>16910046</v>
      </c>
      <c r="C59" s="60"/>
      <c r="D59" s="57"/>
      <c r="E59" s="67"/>
      <c r="F59" s="67"/>
      <c r="G59" s="67"/>
      <c r="H59" s="44"/>
    </row>
    <row r="60" spans="1:8" ht="15" thickTop="1" x14ac:dyDescent="0.35">
      <c r="A60" s="68" t="s">
        <v>63</v>
      </c>
      <c r="B60" s="69">
        <f>SUM(B57:B59)</f>
        <v>244626553</v>
      </c>
      <c r="C60" s="60"/>
      <c r="D60" s="68" t="s">
        <v>63</v>
      </c>
      <c r="E60" s="69">
        <f>SUM(E57:E58)</f>
        <v>244626553</v>
      </c>
      <c r="F60" s="70">
        <f>SUM(F57:F58)</f>
        <v>1</v>
      </c>
      <c r="G60" s="76">
        <f>SUM(G57:G59)</f>
        <v>137593</v>
      </c>
    </row>
    <row r="61" spans="1:8" ht="15" thickBot="1" x14ac:dyDescent="0.4">
      <c r="A61" s="71" t="s">
        <v>70</v>
      </c>
      <c r="B61" s="60"/>
      <c r="C61" s="60"/>
      <c r="D61" s="60"/>
      <c r="E61" s="60"/>
      <c r="F61" s="60"/>
      <c r="G61" s="82">
        <f>G60/B42</f>
        <v>5.6277796756139828E-4</v>
      </c>
    </row>
    <row r="62" spans="1:8" ht="15.5" thickTop="1" thickBot="1" x14ac:dyDescent="0.4">
      <c r="D62" s="85" t="s">
        <v>82</v>
      </c>
      <c r="E62" s="86">
        <f>E60-B59</f>
        <v>227716507</v>
      </c>
    </row>
    <row r="63" spans="1:8" ht="15" thickTop="1" x14ac:dyDescent="0.35">
      <c r="A63" s="45" t="s">
        <v>71</v>
      </c>
    </row>
    <row r="64" spans="1:8" x14ac:dyDescent="0.35">
      <c r="A64" s="46" t="s">
        <v>78</v>
      </c>
    </row>
    <row r="72" spans="1:7" ht="15" thickBot="1" x14ac:dyDescent="0.4">
      <c r="A72" s="59" t="s">
        <v>69</v>
      </c>
      <c r="B72" s="59" t="s">
        <v>77</v>
      </c>
      <c r="C72" s="60"/>
      <c r="D72" s="59" t="s">
        <v>69</v>
      </c>
      <c r="E72" s="59" t="s">
        <v>77</v>
      </c>
      <c r="F72" s="59" t="s">
        <v>65</v>
      </c>
      <c r="G72" s="61" t="s">
        <v>67</v>
      </c>
    </row>
    <row r="73" spans="1:7" x14ac:dyDescent="0.35">
      <c r="A73" s="62" t="s">
        <v>61</v>
      </c>
      <c r="B73" s="72">
        <f>B57+1039419+680049</f>
        <v>65490631</v>
      </c>
      <c r="C73" s="60"/>
      <c r="D73" s="62" t="s">
        <v>61</v>
      </c>
      <c r="E73" s="72">
        <f>B73</f>
        <v>65490631</v>
      </c>
      <c r="F73" s="63">
        <f>B73/B76</f>
        <v>0.26413391929333369</v>
      </c>
      <c r="G73" s="73">
        <f>E73-E57</f>
        <v>1719468</v>
      </c>
    </row>
    <row r="74" spans="1:7" x14ac:dyDescent="0.35">
      <c r="A74" s="77" t="s">
        <v>66</v>
      </c>
      <c r="B74" s="129">
        <f>B58+250000+222810</f>
        <v>164418154</v>
      </c>
      <c r="C74" s="60"/>
      <c r="D74" s="64" t="s">
        <v>83</v>
      </c>
      <c r="E74" s="74">
        <f>SUM(B74:B75)</f>
        <v>182454166</v>
      </c>
      <c r="F74" s="65">
        <f>SUM(B74:B75)/B76</f>
        <v>0.73586608070666637</v>
      </c>
      <c r="G74" s="128">
        <f>E74-E58</f>
        <v>1598776</v>
      </c>
    </row>
    <row r="75" spans="1:7" ht="15" thickBot="1" x14ac:dyDescent="0.4">
      <c r="A75" s="80" t="s">
        <v>68</v>
      </c>
      <c r="B75" s="81">
        <v>18036012</v>
      </c>
      <c r="C75" s="60"/>
      <c r="D75" s="57"/>
      <c r="E75" s="67"/>
      <c r="F75" s="67"/>
      <c r="G75" s="67"/>
    </row>
    <row r="76" spans="1:7" ht="15" thickTop="1" x14ac:dyDescent="0.35">
      <c r="A76" s="68" t="s">
        <v>63</v>
      </c>
      <c r="B76" s="69">
        <f>SUM(B73:B75)</f>
        <v>247944797</v>
      </c>
      <c r="C76" s="60"/>
      <c r="D76" s="68" t="s">
        <v>63</v>
      </c>
      <c r="E76" s="69">
        <f>SUM(E73:E74)</f>
        <v>247944797</v>
      </c>
      <c r="F76" s="70">
        <f>SUM(F73:F74)</f>
        <v>1</v>
      </c>
      <c r="G76" s="76">
        <f>SUM(G73:G75)</f>
        <v>3318244</v>
      </c>
    </row>
    <row r="77" spans="1:7" ht="15" thickBot="1" x14ac:dyDescent="0.4">
      <c r="A77" s="71" t="s">
        <v>70</v>
      </c>
      <c r="B77" s="60"/>
      <c r="C77" s="60"/>
      <c r="D77" s="60"/>
      <c r="E77" s="60"/>
      <c r="F77" s="60"/>
      <c r="G77" s="82">
        <f>G76/B60</f>
        <v>1.356452911307629E-2</v>
      </c>
    </row>
    <row r="78" spans="1:7" ht="15.5" thickTop="1" thickBot="1" x14ac:dyDescent="0.4">
      <c r="D78" s="85" t="s">
        <v>82</v>
      </c>
      <c r="E78" s="86">
        <f>E76-B75</f>
        <v>229908785</v>
      </c>
    </row>
    <row r="79" spans="1:7" ht="15" thickTop="1" x14ac:dyDescent="0.35">
      <c r="A79" s="45" t="s">
        <v>71</v>
      </c>
    </row>
    <row r="80" spans="1:7" x14ac:dyDescent="0.35">
      <c r="A80" s="50" t="s">
        <v>98</v>
      </c>
    </row>
    <row r="81" spans="1:7" x14ac:dyDescent="0.35">
      <c r="A81" s="50" t="s">
        <v>102</v>
      </c>
    </row>
    <row r="82" spans="1:7" x14ac:dyDescent="0.35">
      <c r="A82" s="50" t="s">
        <v>97</v>
      </c>
      <c r="B82" s="41"/>
    </row>
    <row r="83" spans="1:7" x14ac:dyDescent="0.35">
      <c r="A83" s="50" t="s">
        <v>84</v>
      </c>
    </row>
    <row r="84" spans="1:7" x14ac:dyDescent="0.35">
      <c r="A84" s="125" t="s">
        <v>99</v>
      </c>
    </row>
    <row r="89" spans="1:7" ht="15" thickBot="1" x14ac:dyDescent="0.4">
      <c r="A89" s="59" t="s">
        <v>69</v>
      </c>
      <c r="B89" s="59" t="s">
        <v>103</v>
      </c>
      <c r="C89" s="60"/>
      <c r="D89" s="59" t="s">
        <v>69</v>
      </c>
      <c r="E89" s="59" t="s">
        <v>103</v>
      </c>
      <c r="F89" s="59" t="s">
        <v>65</v>
      </c>
      <c r="G89" s="61" t="s">
        <v>67</v>
      </c>
    </row>
    <row r="90" spans="1:7" x14ac:dyDescent="0.35">
      <c r="A90" s="62" t="s">
        <v>61</v>
      </c>
      <c r="B90" s="132">
        <f>B73+1300000</f>
        <v>66790631</v>
      </c>
      <c r="C90" s="60"/>
      <c r="D90" s="62" t="s">
        <v>61</v>
      </c>
      <c r="E90" s="131">
        <f>B90</f>
        <v>66790631</v>
      </c>
      <c r="F90" s="63">
        <f>B90/B93</f>
        <v>0.26516690755245387</v>
      </c>
      <c r="G90" s="73">
        <f>E90-E73</f>
        <v>1300000</v>
      </c>
    </row>
    <row r="91" spans="1:7" x14ac:dyDescent="0.35">
      <c r="A91" s="77" t="s">
        <v>66</v>
      </c>
      <c r="B91" s="129">
        <f>B74-222810</f>
        <v>164195344</v>
      </c>
      <c r="C91" s="60"/>
      <c r="D91" s="64" t="s">
        <v>83</v>
      </c>
      <c r="E91" s="74">
        <f>SUM(B91:B92)</f>
        <v>185090841</v>
      </c>
      <c r="F91" s="65">
        <f>SUM(B91:B92)/B93</f>
        <v>0.73483309244754613</v>
      </c>
      <c r="G91" s="128">
        <f>E91-E74</f>
        <v>2636675</v>
      </c>
    </row>
    <row r="92" spans="1:7" ht="15" thickBot="1" x14ac:dyDescent="0.4">
      <c r="A92" s="80" t="s">
        <v>68</v>
      </c>
      <c r="B92" s="81">
        <v>20895497</v>
      </c>
      <c r="C92" s="60"/>
      <c r="D92" s="57"/>
      <c r="E92" s="67"/>
      <c r="F92" s="67"/>
      <c r="G92" s="67"/>
    </row>
    <row r="93" spans="1:7" ht="15" thickTop="1" x14ac:dyDescent="0.35">
      <c r="A93" s="68" t="s">
        <v>63</v>
      </c>
      <c r="B93" s="69">
        <f>SUM(B90:B92)</f>
        <v>251881472</v>
      </c>
      <c r="C93" s="60"/>
      <c r="D93" s="68" t="s">
        <v>63</v>
      </c>
      <c r="E93" s="69">
        <f>SUM(E90:E91)</f>
        <v>251881472</v>
      </c>
      <c r="F93" s="70">
        <f>SUM(F90:F91)</f>
        <v>1</v>
      </c>
      <c r="G93" s="76">
        <f>SUM(G90:G92)</f>
        <v>3936675</v>
      </c>
    </row>
    <row r="94" spans="1:7" ht="15" thickBot="1" x14ac:dyDescent="0.4">
      <c r="A94" s="71" t="s">
        <v>70</v>
      </c>
      <c r="B94" s="60"/>
      <c r="C94" s="60"/>
      <c r="D94" s="60"/>
      <c r="E94" s="60"/>
      <c r="F94" s="60"/>
      <c r="G94" s="130">
        <f>G93/E76</f>
        <v>1.5877223670880257E-2</v>
      </c>
    </row>
    <row r="95" spans="1:7" ht="15.5" thickTop="1" thickBot="1" x14ac:dyDescent="0.4">
      <c r="D95" s="85" t="s">
        <v>82</v>
      </c>
      <c r="E95" s="86">
        <f>E93-B92</f>
        <v>230985975</v>
      </c>
    </row>
    <row r="96" spans="1:7" ht="15" thickTop="1" x14ac:dyDescent="0.35">
      <c r="A96" s="45" t="s">
        <v>71</v>
      </c>
    </row>
    <row r="97" spans="1:7" x14ac:dyDescent="0.35">
      <c r="A97" s="50" t="s">
        <v>106</v>
      </c>
    </row>
    <row r="98" spans="1:7" x14ac:dyDescent="0.35">
      <c r="A98" s="50" t="s">
        <v>115</v>
      </c>
    </row>
    <row r="99" spans="1:7" x14ac:dyDescent="0.35">
      <c r="A99" s="50"/>
      <c r="B99" s="41"/>
    </row>
    <row r="100" spans="1:7" x14ac:dyDescent="0.35">
      <c r="A100" s="41"/>
      <c r="D100" s="41"/>
    </row>
    <row r="101" spans="1:7" x14ac:dyDescent="0.35">
      <c r="A101" s="125"/>
    </row>
    <row r="107" spans="1:7" ht="15" thickBot="1" x14ac:dyDescent="0.4">
      <c r="A107" s="59" t="s">
        <v>69</v>
      </c>
      <c r="B107" s="59" t="s">
        <v>110</v>
      </c>
      <c r="C107" s="60"/>
      <c r="D107" s="59" t="s">
        <v>69</v>
      </c>
      <c r="E107" s="59" t="s">
        <v>110</v>
      </c>
      <c r="F107" s="59" t="s">
        <v>65</v>
      </c>
      <c r="G107" s="61" t="s">
        <v>67</v>
      </c>
    </row>
    <row r="108" spans="1:7" x14ac:dyDescent="0.35">
      <c r="A108" s="62" t="s">
        <v>61</v>
      </c>
      <c r="B108" s="160">
        <f>B90+2250000</f>
        <v>69040631</v>
      </c>
      <c r="C108" s="60"/>
      <c r="D108" s="62" t="s">
        <v>61</v>
      </c>
      <c r="E108" s="131">
        <f>B108</f>
        <v>69040631</v>
      </c>
      <c r="F108" s="63">
        <f>B108/B111</f>
        <v>0.2692114740484558</v>
      </c>
      <c r="G108" s="73">
        <f>E108-E90</f>
        <v>2250000</v>
      </c>
    </row>
    <row r="109" spans="1:7" x14ac:dyDescent="0.35">
      <c r="A109" s="77" t="s">
        <v>66</v>
      </c>
      <c r="B109" s="128">
        <f>B91</f>
        <v>164195344</v>
      </c>
      <c r="C109" s="60"/>
      <c r="D109" s="64" t="s">
        <v>83</v>
      </c>
      <c r="E109" s="74">
        <f>SUM(B109:B110)</f>
        <v>187414378</v>
      </c>
      <c r="F109" s="65">
        <f>SUM(B109:B110)/B111</f>
        <v>0.7307885259515442</v>
      </c>
      <c r="G109" s="128">
        <f>E109-E91</f>
        <v>2323537</v>
      </c>
    </row>
    <row r="110" spans="1:7" ht="15" thickBot="1" x14ac:dyDescent="0.4">
      <c r="A110" s="80" t="s">
        <v>68</v>
      </c>
      <c r="B110" s="161">
        <v>23219034</v>
      </c>
      <c r="C110" s="60"/>
      <c r="D110" s="57"/>
      <c r="E110" s="67"/>
      <c r="F110" s="67"/>
      <c r="G110" s="67"/>
    </row>
    <row r="111" spans="1:7" ht="15" thickTop="1" x14ac:dyDescent="0.35">
      <c r="A111" s="68" t="s">
        <v>63</v>
      </c>
      <c r="B111" s="69">
        <f>SUM(B108:B110)</f>
        <v>256455009</v>
      </c>
      <c r="C111" s="60"/>
      <c r="D111" s="68" t="s">
        <v>63</v>
      </c>
      <c r="E111" s="69">
        <f>SUM(E108:E109)</f>
        <v>256455009</v>
      </c>
      <c r="F111" s="70">
        <f>SUM(F108:F109)</f>
        <v>1</v>
      </c>
      <c r="G111" s="76">
        <f>E111-E93</f>
        <v>4573537</v>
      </c>
    </row>
    <row r="112" spans="1:7" ht="15" thickBot="1" x14ac:dyDescent="0.4">
      <c r="A112" s="71" t="s">
        <v>70</v>
      </c>
      <c r="B112" s="60"/>
      <c r="C112" s="60"/>
      <c r="D112" s="60"/>
      <c r="E112" s="60"/>
      <c r="F112" s="60"/>
      <c r="G112" s="130">
        <f>G111/E93</f>
        <v>1.8157496713374775E-2</v>
      </c>
    </row>
    <row r="113" spans="1:7" ht="15.5" thickTop="1" thickBot="1" x14ac:dyDescent="0.4">
      <c r="D113" s="85" t="s">
        <v>82</v>
      </c>
      <c r="E113" s="86">
        <f>E111-B110</f>
        <v>233235975</v>
      </c>
    </row>
    <row r="114" spans="1:7" ht="15" thickTop="1" x14ac:dyDescent="0.35">
      <c r="A114" s="45" t="s">
        <v>71</v>
      </c>
    </row>
    <row r="115" spans="1:7" x14ac:dyDescent="0.35">
      <c r="A115" s="50" t="s">
        <v>116</v>
      </c>
    </row>
    <row r="116" spans="1:7" x14ac:dyDescent="0.35">
      <c r="A116" s="41"/>
    </row>
    <row r="117" spans="1:7" x14ac:dyDescent="0.35">
      <c r="A117" s="50"/>
      <c r="B117" s="41"/>
    </row>
    <row r="119" spans="1:7" x14ac:dyDescent="0.35">
      <c r="A119" s="125"/>
    </row>
    <row r="125" spans="1:7" ht="15" thickBot="1" x14ac:dyDescent="0.4">
      <c r="A125" s="59" t="s">
        <v>69</v>
      </c>
      <c r="B125" s="59" t="s">
        <v>118</v>
      </c>
      <c r="C125" s="60"/>
      <c r="D125" s="59" t="s">
        <v>69</v>
      </c>
      <c r="E125" s="59" t="s">
        <v>118</v>
      </c>
      <c r="F125" s="59" t="s">
        <v>65</v>
      </c>
      <c r="G125" s="61" t="s">
        <v>67</v>
      </c>
    </row>
    <row r="126" spans="1:7" x14ac:dyDescent="0.35">
      <c r="A126" s="62" t="s">
        <v>61</v>
      </c>
      <c r="B126" s="160">
        <f>B108+2000000</f>
        <v>71040631</v>
      </c>
      <c r="C126" s="60"/>
      <c r="D126" s="62" t="s">
        <v>61</v>
      </c>
      <c r="E126" s="131">
        <f>B126</f>
        <v>71040631</v>
      </c>
      <c r="F126" s="63">
        <f>B126/B129</f>
        <v>0.27324888484366516</v>
      </c>
      <c r="G126" s="73">
        <f>E126-E108</f>
        <v>2000000</v>
      </c>
    </row>
    <row r="127" spans="1:7" x14ac:dyDescent="0.35">
      <c r="A127" s="77" t="s">
        <v>66</v>
      </c>
      <c r="B127" s="160">
        <f t="shared" ref="B127" si="0">B109</f>
        <v>164195344</v>
      </c>
      <c r="C127" s="60"/>
      <c r="D127" s="64" t="s">
        <v>83</v>
      </c>
      <c r="E127" s="74">
        <f>SUM(B127:B128)</f>
        <v>188944441</v>
      </c>
      <c r="F127" s="65">
        <f>SUM(B127:B128)/B129</f>
        <v>0.72675111515633484</v>
      </c>
      <c r="G127" s="128">
        <f>E127-E109</f>
        <v>1530063</v>
      </c>
    </row>
    <row r="128" spans="1:7" ht="15" thickBot="1" x14ac:dyDescent="0.4">
      <c r="A128" s="80" t="s">
        <v>68</v>
      </c>
      <c r="B128" s="160">
        <v>24749097</v>
      </c>
      <c r="C128" s="60"/>
      <c r="D128" s="57"/>
      <c r="E128" s="67"/>
      <c r="F128" s="67"/>
      <c r="G128" s="67"/>
    </row>
    <row r="129" spans="1:7" ht="15" thickTop="1" x14ac:dyDescent="0.35">
      <c r="A129" s="68" t="s">
        <v>63</v>
      </c>
      <c r="B129" s="69">
        <f>SUM(B126:B128)</f>
        <v>259985072</v>
      </c>
      <c r="C129" s="60"/>
      <c r="D129" s="68" t="s">
        <v>63</v>
      </c>
      <c r="E129" s="69">
        <f>SUM(E126:E127)</f>
        <v>259985072</v>
      </c>
      <c r="F129" s="70">
        <f>SUM(F126:F127)</f>
        <v>1</v>
      </c>
      <c r="G129" s="76">
        <f>E129-E111</f>
        <v>3530063</v>
      </c>
    </row>
    <row r="130" spans="1:7" ht="15" thickBot="1" x14ac:dyDescent="0.4">
      <c r="A130" s="71" t="s">
        <v>70</v>
      </c>
      <c r="B130" s="60"/>
      <c r="C130" s="60"/>
      <c r="D130" s="60"/>
      <c r="E130" s="60"/>
      <c r="F130" s="60"/>
      <c r="G130" s="130">
        <f>G129/E111</f>
        <v>1.376484325170658E-2</v>
      </c>
    </row>
    <row r="131" spans="1:7" ht="15.5" thickTop="1" thickBot="1" x14ac:dyDescent="0.4">
      <c r="D131" s="85" t="s">
        <v>82</v>
      </c>
      <c r="E131" s="86">
        <f>E129-B128</f>
        <v>235235975</v>
      </c>
    </row>
    <row r="132" spans="1:7" ht="15" thickTop="1" x14ac:dyDescent="0.35">
      <c r="A132" s="45" t="s">
        <v>71</v>
      </c>
    </row>
    <row r="133" spans="1:7" x14ac:dyDescent="0.35">
      <c r="A133" s="50" t="s">
        <v>126</v>
      </c>
    </row>
    <row r="134" spans="1:7" x14ac:dyDescent="0.35">
      <c r="A134" s="41"/>
    </row>
    <row r="135" spans="1:7" x14ac:dyDescent="0.35">
      <c r="A135" s="50"/>
      <c r="B135" s="41"/>
    </row>
    <row r="137" spans="1:7" x14ac:dyDescent="0.35">
      <c r="A137" s="125"/>
    </row>
    <row r="143" spans="1:7" ht="15" thickBot="1" x14ac:dyDescent="0.4">
      <c r="A143" s="59" t="s">
        <v>69</v>
      </c>
      <c r="B143" s="59" t="s">
        <v>127</v>
      </c>
      <c r="C143" s="60"/>
      <c r="D143" s="59" t="s">
        <v>69</v>
      </c>
      <c r="E143" s="59" t="s">
        <v>127</v>
      </c>
      <c r="F143" s="59" t="s">
        <v>65</v>
      </c>
      <c r="G143" s="61" t="s">
        <v>67</v>
      </c>
    </row>
    <row r="144" spans="1:7" x14ac:dyDescent="0.35">
      <c r="A144" s="62" t="s">
        <v>61</v>
      </c>
      <c r="B144" s="160">
        <f>B126+2000000</f>
        <v>73040631</v>
      </c>
      <c r="C144" s="60"/>
      <c r="D144" s="62" t="s">
        <v>61</v>
      </c>
      <c r="E144" s="131">
        <f>B144</f>
        <v>73040631</v>
      </c>
      <c r="F144" s="63">
        <f>B144/B147</f>
        <v>0.27878049594301163</v>
      </c>
      <c r="G144" s="128">
        <f>E144-E126</f>
        <v>2000000</v>
      </c>
    </row>
    <row r="145" spans="1:7" x14ac:dyDescent="0.35">
      <c r="A145" s="77" t="s">
        <v>66</v>
      </c>
      <c r="B145" s="160">
        <f t="shared" ref="B145" si="1">B127</f>
        <v>164195344</v>
      </c>
      <c r="C145" s="60"/>
      <c r="D145" s="64" t="s">
        <v>83</v>
      </c>
      <c r="E145" s="74">
        <f>SUM(B145:B146)</f>
        <v>188959875</v>
      </c>
      <c r="F145" s="65">
        <f>SUM(B145:B146)/B147</f>
        <v>0.72121950405698831</v>
      </c>
      <c r="G145" s="128">
        <f>E145-E127</f>
        <v>15434</v>
      </c>
    </row>
    <row r="146" spans="1:7" ht="15" thickBot="1" x14ac:dyDescent="0.4">
      <c r="A146" s="80" t="s">
        <v>68</v>
      </c>
      <c r="B146" s="160">
        <f>B128+15434</f>
        <v>24764531</v>
      </c>
      <c r="C146" s="60"/>
      <c r="D146" s="57"/>
      <c r="E146" s="67"/>
      <c r="F146" s="67"/>
      <c r="G146" s="67"/>
    </row>
    <row r="147" spans="1:7" ht="15" thickTop="1" x14ac:dyDescent="0.35">
      <c r="A147" s="68" t="s">
        <v>63</v>
      </c>
      <c r="B147" s="69">
        <f>SUM(B144:B146)</f>
        <v>262000506</v>
      </c>
      <c r="C147" s="60"/>
      <c r="D147" s="68" t="s">
        <v>63</v>
      </c>
      <c r="E147" s="69">
        <f>SUM(E144:E145)</f>
        <v>262000506</v>
      </c>
      <c r="F147" s="70">
        <f>SUM(F144:F145)</f>
        <v>1</v>
      </c>
      <c r="G147" s="76">
        <f>E147-E129</f>
        <v>2015434</v>
      </c>
    </row>
    <row r="148" spans="1:7" ht="15" thickBot="1" x14ac:dyDescent="0.4">
      <c r="A148" s="71" t="s">
        <v>70</v>
      </c>
      <c r="B148" s="60"/>
      <c r="C148" s="60"/>
      <c r="D148" s="60"/>
      <c r="E148" s="60"/>
      <c r="F148" s="60"/>
      <c r="G148" s="130">
        <f>G147/E129</f>
        <v>7.7521143213945759E-3</v>
      </c>
    </row>
    <row r="149" spans="1:7" ht="15.5" thickTop="1" thickBot="1" x14ac:dyDescent="0.4">
      <c r="D149" s="85" t="s">
        <v>82</v>
      </c>
      <c r="E149" s="86">
        <f>E147-B146</f>
        <v>237235975</v>
      </c>
    </row>
    <row r="150" spans="1:7" ht="15" thickTop="1" x14ac:dyDescent="0.35">
      <c r="A150" s="45" t="s">
        <v>71</v>
      </c>
    </row>
    <row r="151" spans="1:7" x14ac:dyDescent="0.35">
      <c r="A151" s="50" t="s">
        <v>130</v>
      </c>
    </row>
    <row r="152" spans="1:7" x14ac:dyDescent="0.35">
      <c r="A152" s="41"/>
    </row>
    <row r="153" spans="1:7" x14ac:dyDescent="0.35">
      <c r="A153" s="50"/>
      <c r="B153" s="41"/>
    </row>
    <row r="155" spans="1:7" x14ac:dyDescent="0.35">
      <c r="A155" s="125"/>
    </row>
  </sheetData>
  <mergeCells count="1">
    <mergeCell ref="A1:N1"/>
  </mergeCells>
  <pageMargins left="0.45" right="0.45" top="0.75" bottom="0.75" header="0.3" footer="0.3"/>
  <pageSetup scale="93" orientation="landscape" r:id="rId1"/>
  <headerFooter>
    <oddFooter>&amp;C&amp;P&amp;R&amp;D</oddFooter>
  </headerFooter>
  <rowBreaks count="2" manualBreakCount="2">
    <brk id="35" max="16383" man="1"/>
    <brk id="7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K19"/>
  <sheetViews>
    <sheetView showGridLines="0" workbookViewId="0">
      <selection activeCell="M45" sqref="M45"/>
    </sheetView>
  </sheetViews>
  <sheetFormatPr defaultRowHeight="14.5" x14ac:dyDescent="0.35"/>
  <cols>
    <col min="1" max="1" width="9" customWidth="1"/>
    <col min="2" max="2" width="10.36328125" customWidth="1"/>
    <col min="3" max="3" width="11.453125" customWidth="1"/>
    <col min="4" max="4" width="12.453125" customWidth="1"/>
    <col min="5" max="5" width="10.54296875" customWidth="1"/>
    <col min="6" max="6" width="9.6328125" customWidth="1"/>
    <col min="7" max="7" width="10.453125" customWidth="1"/>
    <col min="8" max="8" width="9.08984375" customWidth="1"/>
    <col min="9" max="10" width="7.08984375" customWidth="1"/>
    <col min="11" max="11" width="13.1796875" customWidth="1"/>
  </cols>
  <sheetData>
    <row r="1" spans="1:11" ht="18.5" x14ac:dyDescent="0.45">
      <c r="A1" s="182" t="s">
        <v>119</v>
      </c>
      <c r="B1" s="182"/>
      <c r="C1" s="182"/>
      <c r="D1" s="182"/>
      <c r="E1" s="182"/>
      <c r="F1" s="182"/>
      <c r="G1" s="182"/>
      <c r="H1" s="182"/>
      <c r="I1" s="182"/>
      <c r="J1" s="182"/>
    </row>
    <row r="3" spans="1:11" ht="28.25" customHeight="1" x14ac:dyDescent="0.35">
      <c r="A3" s="88" t="s">
        <v>58</v>
      </c>
      <c r="B3" s="88" t="s">
        <v>61</v>
      </c>
      <c r="C3" s="94" t="s">
        <v>88</v>
      </c>
      <c r="D3" s="88" t="s">
        <v>63</v>
      </c>
      <c r="E3" s="97" t="s">
        <v>70</v>
      </c>
      <c r="F3" s="94" t="s">
        <v>86</v>
      </c>
      <c r="G3" s="94" t="s">
        <v>87</v>
      </c>
      <c r="H3" s="88" t="s">
        <v>58</v>
      </c>
      <c r="I3" s="94" t="s">
        <v>80</v>
      </c>
      <c r="J3" s="94" t="s">
        <v>81</v>
      </c>
    </row>
    <row r="4" spans="1:11" ht="15" customHeight="1" x14ac:dyDescent="0.35">
      <c r="A4" s="83" t="s">
        <v>59</v>
      </c>
      <c r="B4" s="42">
        <f>58518551+2290691+9309</f>
        <v>60818551</v>
      </c>
      <c r="C4" s="84">
        <v>178900148</v>
      </c>
      <c r="D4" s="96">
        <f>B4+C4</f>
        <v>239718699</v>
      </c>
      <c r="E4" s="98"/>
      <c r="F4" s="87"/>
      <c r="G4" s="99"/>
      <c r="H4" s="100" t="s">
        <v>59</v>
      </c>
      <c r="I4" s="89">
        <f t="shared" ref="I4:I9" si="0">B4/D4</f>
        <v>0.25370799713876302</v>
      </c>
      <c r="J4" s="89">
        <f t="shared" ref="J4:J9" si="1">C4/D4</f>
        <v>0.74629200286123698</v>
      </c>
    </row>
    <row r="5" spans="1:11" ht="15.5" x14ac:dyDescent="0.35">
      <c r="A5" s="83" t="s">
        <v>60</v>
      </c>
      <c r="B5" s="42">
        <v>63324020</v>
      </c>
      <c r="C5" s="84">
        <v>182266724</v>
      </c>
      <c r="D5" s="96">
        <f t="shared" ref="D5:D8" si="2">B5+C5</f>
        <v>245590744</v>
      </c>
      <c r="E5" s="98">
        <f t="shared" ref="E5:E10" si="3">D5-D4</f>
        <v>5872045</v>
      </c>
      <c r="F5" s="87">
        <f t="shared" ref="F5:G8" si="4">B5-B4</f>
        <v>2505469</v>
      </c>
      <c r="G5" s="99">
        <f t="shared" si="4"/>
        <v>3366576</v>
      </c>
      <c r="H5" s="100" t="s">
        <v>60</v>
      </c>
      <c r="I5" s="89">
        <f t="shared" si="0"/>
        <v>0.2578436750857353</v>
      </c>
      <c r="J5" s="89">
        <f t="shared" si="1"/>
        <v>0.74215632491426464</v>
      </c>
    </row>
    <row r="6" spans="1:11" ht="15.5" x14ac:dyDescent="0.35">
      <c r="A6" s="83" t="s">
        <v>62</v>
      </c>
      <c r="B6" s="42">
        <v>63383570</v>
      </c>
      <c r="C6" s="84">
        <v>181105390</v>
      </c>
      <c r="D6" s="96">
        <f t="shared" si="2"/>
        <v>244488960</v>
      </c>
      <c r="E6" s="98">
        <f t="shared" si="3"/>
        <v>-1101784</v>
      </c>
      <c r="F6" s="87">
        <f t="shared" si="4"/>
        <v>59550</v>
      </c>
      <c r="G6" s="99">
        <f t="shared" si="4"/>
        <v>-1161334</v>
      </c>
      <c r="H6" s="100" t="s">
        <v>62</v>
      </c>
      <c r="I6" s="89">
        <f t="shared" si="0"/>
        <v>0.25924921108912241</v>
      </c>
      <c r="J6" s="89">
        <f t="shared" si="1"/>
        <v>0.74075078891087764</v>
      </c>
    </row>
    <row r="7" spans="1:11" ht="15.5" x14ac:dyDescent="0.35">
      <c r="A7" s="83" t="s">
        <v>64</v>
      </c>
      <c r="B7" s="42">
        <v>63771163</v>
      </c>
      <c r="C7" s="84">
        <v>180855390</v>
      </c>
      <c r="D7" s="96">
        <f t="shared" si="2"/>
        <v>244626553</v>
      </c>
      <c r="E7" s="98">
        <f t="shared" si="3"/>
        <v>137593</v>
      </c>
      <c r="F7" s="87">
        <f t="shared" si="4"/>
        <v>387593</v>
      </c>
      <c r="G7" s="99">
        <f t="shared" si="4"/>
        <v>-250000</v>
      </c>
      <c r="H7" s="100" t="s">
        <v>64</v>
      </c>
      <c r="I7" s="89">
        <f t="shared" si="0"/>
        <v>0.26068782075345681</v>
      </c>
      <c r="J7" s="89">
        <f t="shared" si="1"/>
        <v>0.73931217924654324</v>
      </c>
    </row>
    <row r="8" spans="1:11" ht="15.5" x14ac:dyDescent="0.35">
      <c r="A8" s="83" t="s">
        <v>77</v>
      </c>
      <c r="B8" s="42">
        <f>'BOE Budget_Graphic_FY23'!B73</f>
        <v>65490631</v>
      </c>
      <c r="C8" s="42">
        <f>'BOE Budget_Graphic_FY23'!E74</f>
        <v>182454166</v>
      </c>
      <c r="D8" s="96">
        <f t="shared" si="2"/>
        <v>247944797</v>
      </c>
      <c r="E8" s="98">
        <f t="shared" si="3"/>
        <v>3318244</v>
      </c>
      <c r="F8" s="87">
        <f>B8-B7</f>
        <v>1719468</v>
      </c>
      <c r="G8" s="99">
        <f t="shared" si="4"/>
        <v>1598776</v>
      </c>
      <c r="H8" s="100" t="s">
        <v>77</v>
      </c>
      <c r="I8" s="89">
        <f t="shared" si="0"/>
        <v>0.26413391929333369</v>
      </c>
      <c r="J8" s="89">
        <f t="shared" si="1"/>
        <v>0.73586608070666637</v>
      </c>
    </row>
    <row r="9" spans="1:11" ht="15.5" x14ac:dyDescent="0.35">
      <c r="A9" s="83" t="s">
        <v>103</v>
      </c>
      <c r="B9" s="42">
        <f>'BOE Budget_Graphic_FY23'!B90</f>
        <v>66790631</v>
      </c>
      <c r="C9" s="42">
        <f>'BOE Budget_Graphic_FY23'!E91</f>
        <v>185090841</v>
      </c>
      <c r="D9" s="96">
        <f t="shared" ref="D9" si="5">B9+C9</f>
        <v>251881472</v>
      </c>
      <c r="E9" s="98">
        <f t="shared" si="3"/>
        <v>3936675</v>
      </c>
      <c r="F9" s="87">
        <f>B9-B8</f>
        <v>1300000</v>
      </c>
      <c r="G9" s="99">
        <f t="shared" ref="G9" si="6">C9-C8</f>
        <v>2636675</v>
      </c>
      <c r="H9" s="100" t="s">
        <v>103</v>
      </c>
      <c r="I9" s="89">
        <f t="shared" si="0"/>
        <v>0.26516690755245387</v>
      </c>
      <c r="J9" s="89">
        <f t="shared" si="1"/>
        <v>0.73483309244754613</v>
      </c>
    </row>
    <row r="10" spans="1:11" ht="15.5" x14ac:dyDescent="0.35">
      <c r="A10" s="83" t="s">
        <v>110</v>
      </c>
      <c r="B10" s="42">
        <f>'BOE Budget_Graphic_FY23'!B108</f>
        <v>69040631</v>
      </c>
      <c r="C10" s="42">
        <f>'BOE Budget_Graphic_FY23'!E109</f>
        <v>187414378</v>
      </c>
      <c r="D10" s="96">
        <f t="shared" ref="D10" si="7">B10+C10</f>
        <v>256455009</v>
      </c>
      <c r="E10" s="98">
        <f t="shared" si="3"/>
        <v>4573537</v>
      </c>
      <c r="F10" s="87">
        <f>B10-B9</f>
        <v>2250000</v>
      </c>
      <c r="G10" s="99">
        <f t="shared" ref="G10" si="8">C10-C9</f>
        <v>2323537</v>
      </c>
      <c r="H10" s="100" t="s">
        <v>110</v>
      </c>
      <c r="I10" s="89">
        <f>B10/D10</f>
        <v>0.2692114740484558</v>
      </c>
      <c r="J10" s="89">
        <f>C10/D10</f>
        <v>0.7307885259515442</v>
      </c>
    </row>
    <row r="11" spans="1:11" ht="15.5" x14ac:dyDescent="0.35">
      <c r="A11" s="83" t="s">
        <v>118</v>
      </c>
      <c r="B11" s="42">
        <f>'BOE Budget_Graphic_FY23'!B126</f>
        <v>71040631</v>
      </c>
      <c r="C11" s="42">
        <f>'BOE Budget_Graphic_FY23'!E127</f>
        <v>188944441</v>
      </c>
      <c r="D11" s="96">
        <f t="shared" ref="D11" si="9">B11+C11</f>
        <v>259985072</v>
      </c>
      <c r="E11" s="98">
        <f t="shared" ref="E11" si="10">D11-D10</f>
        <v>3530063</v>
      </c>
      <c r="F11" s="87">
        <f>B11-B10</f>
        <v>2000000</v>
      </c>
      <c r="G11" s="99">
        <f t="shared" ref="G11" si="11">C11-C10</f>
        <v>1530063</v>
      </c>
      <c r="H11" s="100" t="s">
        <v>118</v>
      </c>
      <c r="I11" s="89">
        <f>B11/D11</f>
        <v>0.27324888484366516</v>
      </c>
      <c r="J11" s="89">
        <f>C11/D11</f>
        <v>0.72675111515633484</v>
      </c>
    </row>
    <row r="12" spans="1:11" ht="15.5" x14ac:dyDescent="0.35">
      <c r="A12" s="83" t="s">
        <v>127</v>
      </c>
      <c r="B12" s="42">
        <f>'BOE Budget_Graphic_FY23'!B144</f>
        <v>73040631</v>
      </c>
      <c r="C12" s="42">
        <f>'BOE Budget_Graphic_FY23'!E145</f>
        <v>188959875</v>
      </c>
      <c r="D12" s="96">
        <f t="shared" ref="D12" si="12">B12+C12</f>
        <v>262000506</v>
      </c>
      <c r="E12" s="98">
        <f t="shared" ref="E12" si="13">D12-D11</f>
        <v>2015434</v>
      </c>
      <c r="F12" s="87">
        <f>B12-B11</f>
        <v>2000000</v>
      </c>
      <c r="G12" s="99">
        <f t="shared" ref="G12" si="14">C12-C11</f>
        <v>15434</v>
      </c>
      <c r="H12" s="100" t="s">
        <v>127</v>
      </c>
      <c r="I12" s="89">
        <f>B12/D12</f>
        <v>0.27878049594301163</v>
      </c>
      <c r="J12" s="89">
        <f>C12/D12</f>
        <v>0.72121950405698831</v>
      </c>
    </row>
    <row r="13" spans="1:11" ht="16" customHeight="1" thickBot="1" x14ac:dyDescent="0.4">
      <c r="A13" s="139"/>
      <c r="B13" s="139"/>
      <c r="C13" s="139"/>
      <c r="D13" s="139"/>
      <c r="E13" s="140"/>
      <c r="F13" s="140"/>
      <c r="G13" s="140"/>
      <c r="H13" s="141"/>
      <c r="I13" s="142"/>
      <c r="J13" s="142"/>
    </row>
    <row r="14" spans="1:11" ht="14" customHeight="1" thickBot="1" x14ac:dyDescent="0.4">
      <c r="A14" s="83"/>
      <c r="B14" s="41"/>
      <c r="C14" s="41"/>
      <c r="D14" s="90"/>
      <c r="E14" s="91"/>
      <c r="F14" s="91"/>
      <c r="G14" s="91"/>
      <c r="H14" s="83"/>
      <c r="I14" s="145" t="s">
        <v>109</v>
      </c>
      <c r="J14" s="92"/>
    </row>
    <row r="15" spans="1:11" ht="15" thickBot="1" x14ac:dyDescent="0.4">
      <c r="D15" s="93" t="s">
        <v>85</v>
      </c>
      <c r="E15" s="147">
        <f>SUM(E5:E12)</f>
        <v>22281807</v>
      </c>
      <c r="F15" s="147">
        <f t="shared" ref="F15:G15" si="15">SUM(F5:F12)</f>
        <v>12222080</v>
      </c>
      <c r="G15" s="147">
        <f t="shared" si="15"/>
        <v>10059727</v>
      </c>
      <c r="H15" s="95">
        <f>E15/D4</f>
        <v>9.2949807807858997E-2</v>
      </c>
      <c r="I15" s="146">
        <f>AVERAGE(C17:J17)</f>
        <v>1.1211036233762682E-2</v>
      </c>
      <c r="K15" s="143"/>
    </row>
    <row r="16" spans="1:11" ht="6.5" customHeight="1" thickBot="1" x14ac:dyDescent="0.4"/>
    <row r="17" spans="2:10" ht="15" thickBot="1" x14ac:dyDescent="0.4">
      <c r="B17" s="104" t="s">
        <v>89</v>
      </c>
      <c r="C17" s="102">
        <f>'BOE Budget_Graphic_FY23'!G26</f>
        <v>2.4495565112340276E-2</v>
      </c>
      <c r="D17" s="103">
        <f>'BOE Budget_Graphic_FY23'!G43</f>
        <v>-4.4862602802327109E-3</v>
      </c>
      <c r="E17" s="102">
        <f>'BOE Budget_Graphic_FY23'!G61</f>
        <v>5.6277796756139828E-4</v>
      </c>
      <c r="F17" s="102">
        <f>'BOE Budget_Graphic_FY23'!G77</f>
        <v>1.356452911307629E-2</v>
      </c>
      <c r="G17" s="102">
        <f>'BOE Budget_Graphic_FY23'!G94</f>
        <v>1.5877223670880257E-2</v>
      </c>
      <c r="H17" s="102">
        <f>'BOE Budget_Graphic_FY23'!G112</f>
        <v>1.8157496713374775E-2</v>
      </c>
      <c r="I17" s="102">
        <f>'BOE Budget_Graphic_FY23'!G130</f>
        <v>1.376484325170658E-2</v>
      </c>
      <c r="J17" s="102">
        <f>'BOE Budget_Graphic_FY23'!G148</f>
        <v>7.7521143213945759E-3</v>
      </c>
    </row>
    <row r="18" spans="2:10" ht="15" thickBot="1" x14ac:dyDescent="0.4">
      <c r="B18" s="179" t="s">
        <v>58</v>
      </c>
      <c r="C18" s="101" t="s">
        <v>129</v>
      </c>
      <c r="D18" s="101" t="s">
        <v>125</v>
      </c>
      <c r="E18" s="101" t="s">
        <v>124</v>
      </c>
      <c r="F18" s="101" t="s">
        <v>123</v>
      </c>
      <c r="G18" s="101" t="s">
        <v>122</v>
      </c>
      <c r="H18" s="101" t="s">
        <v>121</v>
      </c>
      <c r="I18" s="101" t="s">
        <v>120</v>
      </c>
      <c r="J18" s="101" t="s">
        <v>128</v>
      </c>
    </row>
    <row r="19" spans="2:10" ht="7.5" customHeight="1" x14ac:dyDescent="0.35"/>
  </sheetData>
  <mergeCells count="1">
    <mergeCell ref="A1:J1"/>
  </mergeCells>
  <phoneticPr fontId="38" type="noConversion"/>
  <pageMargins left="0.4" right="0.4" top="0.5" bottom="0.5" header="0.3" footer="0.3"/>
  <pageSetup scale="98" orientation="portrait" r:id="rId1"/>
  <headerFooter>
    <oddFooter>&amp;R&amp;D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N37"/>
  <sheetViews>
    <sheetView showGridLines="0" workbookViewId="0">
      <selection activeCell="H26" sqref="H26"/>
    </sheetView>
  </sheetViews>
  <sheetFormatPr defaultRowHeight="14.5" x14ac:dyDescent="0.35"/>
  <cols>
    <col min="1" max="1" width="9" customWidth="1"/>
    <col min="2" max="2" width="10.36328125" customWidth="1"/>
    <col min="3" max="3" width="11.453125" customWidth="1"/>
    <col min="4" max="4" width="11.08984375" customWidth="1"/>
    <col min="5" max="5" width="13.36328125" customWidth="1"/>
    <col min="6" max="6" width="12.6328125" customWidth="1"/>
    <col min="7" max="7" width="11.1796875" customWidth="1"/>
    <col min="8" max="8" width="11" customWidth="1"/>
    <col min="9" max="11" width="10.90625" customWidth="1"/>
    <col min="12" max="12" width="8.1796875" customWidth="1"/>
    <col min="13" max="13" width="8.6328125" customWidth="1"/>
    <col min="14" max="14" width="13.1796875" customWidth="1"/>
  </cols>
  <sheetData>
    <row r="1" spans="1:14" ht="18.5" x14ac:dyDescent="0.45">
      <c r="A1" s="182" t="s">
        <v>119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14" ht="15" thickBot="1" x14ac:dyDescent="0.4"/>
    <row r="3" spans="1:14" ht="36.75" customHeight="1" x14ac:dyDescent="0.35">
      <c r="A3" s="106" t="s">
        <v>58</v>
      </c>
      <c r="B3" s="106" t="s">
        <v>61</v>
      </c>
      <c r="C3" s="107" t="s">
        <v>66</v>
      </c>
      <c r="D3" s="107" t="s">
        <v>91</v>
      </c>
      <c r="E3" s="106" t="s">
        <v>63</v>
      </c>
      <c r="F3" s="107" t="s">
        <v>92</v>
      </c>
      <c r="G3" s="110" t="s">
        <v>70</v>
      </c>
      <c r="H3" s="111" t="s">
        <v>86</v>
      </c>
      <c r="I3" s="112" t="s">
        <v>93</v>
      </c>
      <c r="J3" s="113" t="s">
        <v>94</v>
      </c>
      <c r="K3" s="107" t="s">
        <v>96</v>
      </c>
      <c r="L3" s="107" t="s">
        <v>95</v>
      </c>
    </row>
    <row r="4" spans="1:14" ht="18" customHeight="1" x14ac:dyDescent="0.35">
      <c r="A4" s="83" t="s">
        <v>59</v>
      </c>
      <c r="B4" s="42">
        <f>58518551+2290691+9309</f>
        <v>60818551</v>
      </c>
      <c r="C4" s="84">
        <f>'BOE Budget_Graphic_FY23'!B7</f>
        <v>164195344</v>
      </c>
      <c r="D4" s="84">
        <f>'BOE Budget_Graphic_FY23'!B8</f>
        <v>14704804</v>
      </c>
      <c r="E4" s="96">
        <f>SUM(B4:D4)</f>
        <v>239718699</v>
      </c>
      <c r="F4" s="105">
        <f>SUM(Table2[[#This Row],[City]:[State ECS]])</f>
        <v>225013895</v>
      </c>
      <c r="G4" s="109"/>
      <c r="H4" s="114"/>
      <c r="I4" s="99"/>
      <c r="J4" s="115"/>
      <c r="K4" s="156"/>
      <c r="L4" s="24"/>
    </row>
    <row r="5" spans="1:14" ht="18" customHeight="1" x14ac:dyDescent="0.35">
      <c r="A5" s="83" t="s">
        <v>60</v>
      </c>
      <c r="B5" s="42">
        <v>63324020</v>
      </c>
      <c r="C5" s="84">
        <f>'BOE Budget_Graphic_FY23'!B23</f>
        <v>164195344</v>
      </c>
      <c r="D5" s="84">
        <f>'BOE Budget_Graphic_FY23'!B24</f>
        <v>18071380</v>
      </c>
      <c r="E5" s="96">
        <f t="shared" ref="E5:E8" si="0">SUM(B5:D5)</f>
        <v>245590744</v>
      </c>
      <c r="F5" s="105">
        <f>SUM(Table2[[#This Row],[City]:[State ECS]])</f>
        <v>227519364</v>
      </c>
      <c r="G5" s="109">
        <f t="shared" ref="G5:G10" si="1">E5-E4</f>
        <v>5872045</v>
      </c>
      <c r="H5" s="114">
        <f>B5-B4</f>
        <v>2505469</v>
      </c>
      <c r="I5" s="99">
        <f>Table2[[#This Row],[State ECS]]-C4</f>
        <v>0</v>
      </c>
      <c r="J5" s="115">
        <f>Table2[[#This Row],[Alliance ECS]]-D4</f>
        <v>3366576</v>
      </c>
      <c r="K5" s="37">
        <f>SUM(Table2[[#This Row],[State ECS Change]:[Alliance ECS Change]])</f>
        <v>3366576</v>
      </c>
      <c r="L5" s="19"/>
    </row>
    <row r="6" spans="1:14" ht="18" customHeight="1" x14ac:dyDescent="0.35">
      <c r="A6" s="83" t="s">
        <v>62</v>
      </c>
      <c r="B6" s="42">
        <v>63383570</v>
      </c>
      <c r="C6" s="84">
        <f>'BOE Budget_Graphic_FY23'!B40</f>
        <v>164195344</v>
      </c>
      <c r="D6" s="84">
        <f>'BOE Budget_Graphic_FY23'!B41</f>
        <v>16910046</v>
      </c>
      <c r="E6" s="96">
        <f t="shared" si="0"/>
        <v>244488960</v>
      </c>
      <c r="F6" s="105">
        <f>SUM(Table2[[#This Row],[City]:[State ECS]])</f>
        <v>227578914</v>
      </c>
      <c r="G6" s="109">
        <f t="shared" si="1"/>
        <v>-1101784</v>
      </c>
      <c r="H6" s="114">
        <f t="shared" ref="H6:H7" si="2">B6-B5</f>
        <v>59550</v>
      </c>
      <c r="I6" s="99">
        <f>Table2[[#This Row],[State ECS]]-C5</f>
        <v>0</v>
      </c>
      <c r="J6" s="115">
        <f>Table2[[#This Row],[Alliance ECS]]-D5</f>
        <v>-1161334</v>
      </c>
      <c r="K6" s="37">
        <f>SUM(Table2[[#This Row],[State ECS Change]:[Alliance ECS Change]])</f>
        <v>-1161334</v>
      </c>
      <c r="L6" s="19"/>
    </row>
    <row r="7" spans="1:14" ht="18" customHeight="1" x14ac:dyDescent="0.35">
      <c r="A7" s="83" t="s">
        <v>64</v>
      </c>
      <c r="B7" s="42">
        <v>63771163</v>
      </c>
      <c r="C7" s="84">
        <f>'BOE Budget_Graphic_FY23'!B58</f>
        <v>163945344</v>
      </c>
      <c r="D7" s="84">
        <f>'BOE Budget_Graphic_FY23'!B59</f>
        <v>16910046</v>
      </c>
      <c r="E7" s="96">
        <f t="shared" si="0"/>
        <v>244626553</v>
      </c>
      <c r="F7" s="105">
        <f>SUM(Table2[[#This Row],[City]:[State ECS]])</f>
        <v>227716507</v>
      </c>
      <c r="G7" s="109">
        <f t="shared" si="1"/>
        <v>137593</v>
      </c>
      <c r="H7" s="114">
        <f t="shared" si="2"/>
        <v>387593</v>
      </c>
      <c r="I7" s="99">
        <f>Table2[[#This Row],[State ECS]]-C6</f>
        <v>-250000</v>
      </c>
      <c r="J7" s="115">
        <f>Table2[[#This Row],[Alliance ECS]]-D6</f>
        <v>0</v>
      </c>
      <c r="K7" s="37">
        <f>SUM(Table2[[#This Row],[State ECS Change]:[Alliance ECS Change]])</f>
        <v>-250000</v>
      </c>
      <c r="L7" s="19"/>
    </row>
    <row r="8" spans="1:14" ht="18" customHeight="1" x14ac:dyDescent="0.35">
      <c r="A8" s="83" t="s">
        <v>77</v>
      </c>
      <c r="B8" s="42">
        <f>'BOE Budget_Graphic_FY23'!B73</f>
        <v>65490631</v>
      </c>
      <c r="C8" s="42">
        <f>'BOE Budget_Graphic_FY23'!B74</f>
        <v>164418154</v>
      </c>
      <c r="D8" s="42">
        <f>'BOE Budget_Graphic_FY23'!B75</f>
        <v>18036012</v>
      </c>
      <c r="E8" s="96">
        <f t="shared" si="0"/>
        <v>247944797</v>
      </c>
      <c r="F8" s="105">
        <f>SUM(Table2[[#This Row],[City]:[State ECS]])</f>
        <v>229908785</v>
      </c>
      <c r="G8" s="136">
        <f t="shared" si="1"/>
        <v>3318244</v>
      </c>
      <c r="H8" s="137">
        <f>B8-B7</f>
        <v>1719468</v>
      </c>
      <c r="I8" s="138">
        <f>Table2[[#This Row],[State ECS]]-C7</f>
        <v>472810</v>
      </c>
      <c r="J8" s="115">
        <f>Table2[[#This Row],[Alliance ECS]]-D7</f>
        <v>1125966</v>
      </c>
      <c r="K8" s="37">
        <f>SUM(Table2[[#This Row],[State ECS Change]:[Alliance ECS Change]])</f>
        <v>1598776</v>
      </c>
      <c r="L8" s="121" t="s">
        <v>32</v>
      </c>
    </row>
    <row r="9" spans="1:14" ht="18" customHeight="1" x14ac:dyDescent="0.35">
      <c r="A9" s="83" t="s">
        <v>103</v>
      </c>
      <c r="B9" s="42">
        <f>'BOE Budget_Graphic_FY23'!B90</f>
        <v>66790631</v>
      </c>
      <c r="C9" s="84">
        <f>'BOE Budget_Graphic_FY23'!B91</f>
        <v>164195344</v>
      </c>
      <c r="D9" s="84">
        <f>'BOE Budget_Graphic_FY23'!B92</f>
        <v>20895497</v>
      </c>
      <c r="E9" s="96">
        <f>SUM(B9:D9)</f>
        <v>251881472</v>
      </c>
      <c r="F9" s="105">
        <f>SUM(Table2[[#This Row],[City]:[State ECS]])</f>
        <v>230985975</v>
      </c>
      <c r="G9" s="133">
        <f t="shared" si="1"/>
        <v>3936675</v>
      </c>
      <c r="H9" s="134">
        <f>B9-B8</f>
        <v>1300000</v>
      </c>
      <c r="I9" s="135">
        <f>C9-C8</f>
        <v>-222810</v>
      </c>
      <c r="J9" s="91">
        <f>Table2[[#This Row],[Alliance ECS]]-D8</f>
        <v>2859485</v>
      </c>
      <c r="K9" s="157">
        <f>Table2[[#This Row],[State ECS Change]]+Table2[[#This Row],[Alliance ECS Change]]</f>
        <v>2636675</v>
      </c>
      <c r="L9" s="46"/>
      <c r="M9" s="92"/>
    </row>
    <row r="10" spans="1:14" ht="18" customHeight="1" x14ac:dyDescent="0.35">
      <c r="A10" s="141" t="s">
        <v>110</v>
      </c>
      <c r="B10" s="148">
        <f>'BOE Budget_Graphic_FY23'!B108</f>
        <v>69040631</v>
      </c>
      <c r="C10" s="149">
        <f>'BOE Budget_Graphic_FY23'!B109</f>
        <v>164195344</v>
      </c>
      <c r="D10" s="149">
        <f>'BOE Budget_Graphic_FY23'!B110</f>
        <v>23219034</v>
      </c>
      <c r="E10" s="150">
        <f>SUM(B10:D10)</f>
        <v>256455009</v>
      </c>
      <c r="F10" s="151">
        <f>SUM(Table2[[#This Row],[City]:[State ECS]])</f>
        <v>233235975</v>
      </c>
      <c r="G10" s="152">
        <f t="shared" si="1"/>
        <v>4573537</v>
      </c>
      <c r="H10" s="153">
        <f>B10-B9</f>
        <v>2250000</v>
      </c>
      <c r="I10" s="135">
        <f>C10-C9</f>
        <v>0</v>
      </c>
      <c r="J10" s="154">
        <f>Table2[[#This Row],[Alliance ECS]]-D9</f>
        <v>2323537</v>
      </c>
      <c r="K10" s="157">
        <f>Table2[[#This Row],[State ECS Change]]+Table2[[#This Row],[Alliance ECS Change]]</f>
        <v>2323537</v>
      </c>
      <c r="L10" s="155"/>
      <c r="M10" s="92"/>
      <c r="N10" s="166"/>
    </row>
    <row r="11" spans="1:14" ht="18" customHeight="1" x14ac:dyDescent="0.35">
      <c r="A11" s="141" t="s">
        <v>118</v>
      </c>
      <c r="B11" s="163">
        <f>'BOE Budget_Graphic_FY23'!E126</f>
        <v>71040631</v>
      </c>
      <c r="C11" s="163">
        <f>'BOE Budget_Graphic_FY23'!B127</f>
        <v>164195344</v>
      </c>
      <c r="D11" s="163">
        <f>'BOE Budget_Graphic_FY23'!B128</f>
        <v>24749097</v>
      </c>
      <c r="E11" s="164">
        <f>SUM(B11:D11)</f>
        <v>259985072</v>
      </c>
      <c r="F11" s="165">
        <f>SUM(Table2[[#This Row],[City]:[State ECS]])</f>
        <v>235235975</v>
      </c>
      <c r="G11" s="136">
        <f t="shared" ref="G11" si="3">E11-E10</f>
        <v>3530063</v>
      </c>
      <c r="H11" s="153">
        <f>B11-B10</f>
        <v>2000000</v>
      </c>
      <c r="I11" s="138">
        <f>C11-C10</f>
        <v>0</v>
      </c>
      <c r="J11" s="140">
        <f>Table2[[#This Row],[Alliance ECS]]-D10</f>
        <v>1530063</v>
      </c>
      <c r="K11" s="157">
        <f>Table2[[#This Row],[State ECS Change]]+Table2[[#This Row],[Alliance ECS Change]]</f>
        <v>1530063</v>
      </c>
      <c r="L11" s="162"/>
      <c r="M11" s="92"/>
    </row>
    <row r="12" spans="1:14" ht="18" customHeight="1" x14ac:dyDescent="0.35">
      <c r="A12" s="141" t="s">
        <v>127</v>
      </c>
      <c r="B12" s="169">
        <f>'BOE Budget_Graphic_FY23'!B144</f>
        <v>73040631</v>
      </c>
      <c r="C12" s="170">
        <f>'BOE Budget_Graphic_FY23'!B145</f>
        <v>164195344</v>
      </c>
      <c r="D12" s="170">
        <f>'BOE Budget_Graphic_FY23'!B146</f>
        <v>24764531</v>
      </c>
      <c r="E12" s="171">
        <f>SUM(B12:D12)</f>
        <v>262000506</v>
      </c>
      <c r="F12" s="172">
        <f>SUM(Table2[[#This Row],[City]:[State ECS]])</f>
        <v>237235975</v>
      </c>
      <c r="G12" s="173">
        <f>E12-E11</f>
        <v>2015434</v>
      </c>
      <c r="H12" s="174">
        <f>B12-B11</f>
        <v>2000000</v>
      </c>
      <c r="I12" s="175">
        <f>C12-C11</f>
        <v>0</v>
      </c>
      <c r="J12" s="176">
        <f>Table2[[#This Row],[Alliance ECS]]-D11</f>
        <v>15434</v>
      </c>
      <c r="K12" s="177">
        <f>Table2[[#This Row],[State ECS Change]]+Table2[[#This Row],[Alliance ECS Change]]</f>
        <v>15434</v>
      </c>
      <c r="L12" s="178"/>
      <c r="M12" s="92"/>
    </row>
    <row r="13" spans="1:14" ht="16.25" customHeight="1" x14ac:dyDescent="0.35">
      <c r="A13" s="141"/>
      <c r="B13" s="167"/>
      <c r="C13" s="167"/>
      <c r="D13" s="167"/>
      <c r="E13" s="139"/>
      <c r="F13" s="139"/>
      <c r="G13" s="140"/>
      <c r="H13" s="154"/>
      <c r="I13" s="140"/>
      <c r="J13" s="140"/>
      <c r="K13" s="168"/>
      <c r="L13" s="162"/>
    </row>
    <row r="14" spans="1:14" ht="8" customHeight="1" x14ac:dyDescent="0.35">
      <c r="A14" s="41"/>
      <c r="B14" s="41"/>
      <c r="C14" s="41"/>
      <c r="D14" s="41"/>
      <c r="E14" s="90"/>
      <c r="F14" s="90"/>
      <c r="G14" s="91"/>
      <c r="H14" s="91"/>
      <c r="I14" s="91"/>
      <c r="J14" s="91"/>
      <c r="K14" s="83"/>
      <c r="L14" s="92"/>
    </row>
    <row r="15" spans="1:14" ht="20" customHeight="1" thickBot="1" x14ac:dyDescent="0.4">
      <c r="A15" s="41"/>
      <c r="B15" s="41"/>
      <c r="C15" s="41"/>
      <c r="D15" s="41"/>
      <c r="E15" s="90"/>
      <c r="F15" s="90"/>
      <c r="G15" s="91"/>
      <c r="H15" s="91"/>
      <c r="I15" s="91"/>
      <c r="J15" s="91"/>
      <c r="K15" s="83"/>
      <c r="L15" s="92"/>
    </row>
    <row r="16" spans="1:14" ht="18.5" customHeight="1" thickBot="1" x14ac:dyDescent="0.4">
      <c r="E16" s="93" t="s">
        <v>85</v>
      </c>
      <c r="F16" s="159">
        <f>G16/E4</f>
        <v>9.2949807807858997E-2</v>
      </c>
      <c r="G16" s="144">
        <f>SUM(G5:G12)</f>
        <v>22281807</v>
      </c>
      <c r="H16" s="144">
        <f t="shared" ref="H16:K16" si="4">SUM(H5:H12)</f>
        <v>12222080</v>
      </c>
      <c r="I16" s="144">
        <f t="shared" si="4"/>
        <v>0</v>
      </c>
      <c r="J16" s="144">
        <f t="shared" si="4"/>
        <v>10059727</v>
      </c>
      <c r="K16" s="144">
        <f t="shared" si="4"/>
        <v>10059727</v>
      </c>
    </row>
    <row r="17" spans="1:11" ht="18.5" customHeight="1" thickBot="1" x14ac:dyDescent="0.4">
      <c r="E17" s="93" t="s">
        <v>105</v>
      </c>
      <c r="F17" s="95">
        <f>B31</f>
        <v>1.1211036233762682E-2</v>
      </c>
      <c r="G17" s="158" t="s">
        <v>117</v>
      </c>
    </row>
    <row r="18" spans="1:11" ht="18.5" customHeight="1" thickBot="1" x14ac:dyDescent="0.4"/>
    <row r="19" spans="1:11" ht="18.5" customHeight="1" thickBot="1" x14ac:dyDescent="0.4">
      <c r="B19" s="104" t="s">
        <v>112</v>
      </c>
      <c r="C19" s="104" t="s">
        <v>111</v>
      </c>
      <c r="D19" s="104" t="s">
        <v>113</v>
      </c>
    </row>
    <row r="20" spans="1:11" ht="18.5" customHeight="1" thickBot="1" x14ac:dyDescent="0.4">
      <c r="B20" s="104" t="s">
        <v>89</v>
      </c>
      <c r="C20" s="104" t="s">
        <v>89</v>
      </c>
      <c r="D20" s="104" t="s">
        <v>89</v>
      </c>
      <c r="J20" s="108"/>
    </row>
    <row r="21" spans="1:11" ht="18.5" customHeight="1" thickBot="1" x14ac:dyDescent="0.4">
      <c r="B21" s="104" t="s">
        <v>114</v>
      </c>
      <c r="C21" s="104" t="s">
        <v>114</v>
      </c>
      <c r="D21" s="104" t="s">
        <v>114</v>
      </c>
      <c r="J21" s="108"/>
    </row>
    <row r="22" spans="1:11" ht="18.5" customHeight="1" thickBot="1" x14ac:dyDescent="0.4">
      <c r="A22" s="122" t="s">
        <v>58</v>
      </c>
      <c r="B22" s="104" t="s">
        <v>90</v>
      </c>
      <c r="C22" s="104" t="s">
        <v>90</v>
      </c>
      <c r="D22" s="104" t="s">
        <v>90</v>
      </c>
      <c r="F22" s="108"/>
      <c r="G22" s="108"/>
      <c r="H22" s="108"/>
      <c r="J22" s="108"/>
    </row>
    <row r="23" spans="1:11" ht="18.5" customHeight="1" thickBot="1" x14ac:dyDescent="0.4">
      <c r="A23" s="101" t="s">
        <v>60</v>
      </c>
      <c r="B23" s="102">
        <f t="shared" ref="B23:B28" si="5">G5/E4</f>
        <v>2.4495565112340276E-2</v>
      </c>
      <c r="C23" s="102">
        <f t="shared" ref="C23:C28" si="6">H5/E4</f>
        <v>1.0451704478840008E-2</v>
      </c>
      <c r="D23" s="102">
        <f t="shared" ref="D23:D27" si="7">K5/E4</f>
        <v>1.4043860633500268E-2</v>
      </c>
      <c r="F23" s="108"/>
      <c r="G23" s="108"/>
      <c r="H23" s="108"/>
      <c r="J23" s="108"/>
    </row>
    <row r="24" spans="1:11" ht="16.5" customHeight="1" thickBot="1" x14ac:dyDescent="0.4">
      <c r="A24" s="101" t="s">
        <v>62</v>
      </c>
      <c r="B24" s="103">
        <f t="shared" si="5"/>
        <v>-4.4862602802327109E-3</v>
      </c>
      <c r="C24" s="102">
        <f t="shared" si="6"/>
        <v>2.4247656499627688E-4</v>
      </c>
      <c r="D24" s="103">
        <f t="shared" si="7"/>
        <v>-4.7287368452289882E-3</v>
      </c>
      <c r="F24" s="108"/>
      <c r="G24" s="108"/>
      <c r="H24" s="108"/>
      <c r="J24" s="108"/>
    </row>
    <row r="25" spans="1:11" ht="16.5" customHeight="1" thickBot="1" x14ac:dyDescent="0.4">
      <c r="A25" s="101" t="s">
        <v>64</v>
      </c>
      <c r="B25" s="102">
        <f t="shared" si="5"/>
        <v>5.6277796756139828E-4</v>
      </c>
      <c r="C25" s="102">
        <f t="shared" si="6"/>
        <v>1.5853190262660531E-3</v>
      </c>
      <c r="D25" s="103">
        <f t="shared" si="7"/>
        <v>-1.0225410587046547E-3</v>
      </c>
      <c r="F25" s="123"/>
      <c r="G25" s="108"/>
      <c r="H25" s="108"/>
      <c r="J25" s="108"/>
    </row>
    <row r="26" spans="1:11" ht="16.5" customHeight="1" thickBot="1" x14ac:dyDescent="0.4">
      <c r="A26" s="101" t="s">
        <v>77</v>
      </c>
      <c r="B26" s="102">
        <f t="shared" si="5"/>
        <v>1.356452911307629E-2</v>
      </c>
      <c r="C26" s="102">
        <f t="shared" si="6"/>
        <v>7.028950777882236E-3</v>
      </c>
      <c r="D26" s="102">
        <f t="shared" si="7"/>
        <v>6.5355783351940542E-3</v>
      </c>
    </row>
    <row r="27" spans="1:11" ht="17" customHeight="1" thickBot="1" x14ac:dyDescent="0.4">
      <c r="A27" s="101" t="s">
        <v>103</v>
      </c>
      <c r="B27" s="102">
        <f t="shared" si="5"/>
        <v>1.5877223670880257E-2</v>
      </c>
      <c r="C27" s="102">
        <f t="shared" si="6"/>
        <v>5.2431025604461464E-3</v>
      </c>
      <c r="D27" s="102">
        <f t="shared" si="7"/>
        <v>1.063412111043411E-2</v>
      </c>
    </row>
    <row r="28" spans="1:11" ht="17" customHeight="1" thickBot="1" x14ac:dyDescent="0.4">
      <c r="A28" s="101" t="s">
        <v>110</v>
      </c>
      <c r="B28" s="102">
        <f t="shared" si="5"/>
        <v>1.8157496713374775E-2</v>
      </c>
      <c r="C28" s="102">
        <f t="shared" si="6"/>
        <v>8.9327729512395423E-3</v>
      </c>
      <c r="D28" s="102">
        <f>K10/E9</f>
        <v>9.2247237621352323E-3</v>
      </c>
    </row>
    <row r="29" spans="1:11" ht="17" customHeight="1" thickBot="1" x14ac:dyDescent="0.4">
      <c r="A29" s="101" t="s">
        <v>118</v>
      </c>
      <c r="B29" s="102">
        <f>G11/E10</f>
        <v>1.376484325170658E-2</v>
      </c>
      <c r="C29" s="102">
        <f>H11/E10</f>
        <v>7.7986388637860454E-3</v>
      </c>
      <c r="D29" s="102">
        <f>K11/E10</f>
        <v>5.9662043879205335E-3</v>
      </c>
    </row>
    <row r="30" spans="1:11" ht="17" customHeight="1" thickBot="1" x14ac:dyDescent="0.4">
      <c r="A30" s="101" t="s">
        <v>127</v>
      </c>
      <c r="B30" s="102">
        <f>G12/E11</f>
        <v>7.7521143213945759E-3</v>
      </c>
      <c r="C30" s="102">
        <f>H12/E11</f>
        <v>7.692749374471777E-3</v>
      </c>
      <c r="D30" s="102">
        <f>K12/E11</f>
        <v>5.9364946922798707E-5</v>
      </c>
    </row>
    <row r="31" spans="1:11" ht="15" thickBot="1" x14ac:dyDescent="0.4">
      <c r="A31" s="93" t="s">
        <v>105</v>
      </c>
      <c r="B31" s="95">
        <f>AVERAGE(B23:B30)</f>
        <v>1.1211036233762682E-2</v>
      </c>
      <c r="C31" s="95">
        <f t="shared" ref="C31:D31" si="8">AVERAGE(C23:C30)</f>
        <v>6.1219643247410116E-3</v>
      </c>
      <c r="D31" s="95">
        <f t="shared" si="8"/>
        <v>5.0890719090216684E-3</v>
      </c>
    </row>
    <row r="32" spans="1:11" ht="15" thickBot="1" x14ac:dyDescent="0.4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spans="1:7" ht="15.5" x14ac:dyDescent="0.35">
      <c r="A33" s="117" t="s">
        <v>95</v>
      </c>
    </row>
    <row r="34" spans="1:7" ht="18.5" x14ac:dyDescent="0.45">
      <c r="A34" s="116" t="s">
        <v>32</v>
      </c>
      <c r="B34" s="124" t="s">
        <v>100</v>
      </c>
    </row>
    <row r="35" spans="1:7" ht="15.5" x14ac:dyDescent="0.35">
      <c r="B35" s="119" t="s">
        <v>101</v>
      </c>
    </row>
    <row r="36" spans="1:7" ht="15.5" x14ac:dyDescent="0.35">
      <c r="B36" s="120" t="s">
        <v>107</v>
      </c>
      <c r="C36" s="118"/>
      <c r="D36" s="118"/>
      <c r="E36" s="118"/>
      <c r="F36" s="118"/>
      <c r="G36" s="118"/>
    </row>
    <row r="37" spans="1:7" ht="15.5" x14ac:dyDescent="0.35">
      <c r="B37" s="124" t="s">
        <v>108</v>
      </c>
    </row>
  </sheetData>
  <mergeCells count="1">
    <mergeCell ref="A1:L1"/>
  </mergeCells>
  <phoneticPr fontId="38" type="noConversion"/>
  <pageMargins left="0.4" right="0.4" top="0.5" bottom="0.5" header="0.3" footer="0.3"/>
  <pageSetup scale="98" orientation="landscape" r:id="rId1"/>
  <headerFooter>
    <oddFooter>&amp;R&amp;D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City Version 4-9-17</vt:lpstr>
      <vt:lpstr>BOE_Corrected</vt:lpstr>
      <vt:lpstr>City Budget_5-8-17</vt:lpstr>
      <vt:lpstr>BOE Budget_Graphic_FY23</vt:lpstr>
      <vt:lpstr>BOE Budget History</vt:lpstr>
      <vt:lpstr>BOE Budget History_A&amp;Non-A</vt:lpstr>
      <vt:lpstr>'BOE Budget_Graphic_FY23'!Print_Titles</vt:lpstr>
    </vt:vector>
  </TitlesOfParts>
  <Company>City of Bridgeport.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nestor.nkwo</dc:creator>
  <cp:lastModifiedBy>Marlene Siegel</cp:lastModifiedBy>
  <cp:lastPrinted>2022-05-29T18:27:22Z</cp:lastPrinted>
  <dcterms:created xsi:type="dcterms:W3CDTF">2017-04-04T16:59:59Z</dcterms:created>
  <dcterms:modified xsi:type="dcterms:W3CDTF">2022-08-19T12:10:42Z</dcterms:modified>
</cp:coreProperties>
</file>